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6" windowHeight="7152" tabRatio="603" firstSheet="1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6 a)'!$A$1:$G$159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<sst xmlns="http://schemas.openxmlformats.org/spreadsheetml/2006/main" count="702" uniqueCount="484">
  <si>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</si>
  <si>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</si>
  <si>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</si>
  <si>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</si>
  <si>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</si>
  <si>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</si>
  <si>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</si>
  <si>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</si>
  <si>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</si>
  <si>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</si>
  <si>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</si>
  <si>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</si>
  <si>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</si>
  <si>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</si>
  <si>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</si>
  <si>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</si>
  <si>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</si>
  <si>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</si>
  <si>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</si>
  <si>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</si>
  <si>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</si>
  <si>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</si>
  <si>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</si>
  <si>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</si>
  <si>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</si>
  <si>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</si>
  <si>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</si>
  <si>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</si>
  <si>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</si>
  <si>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</si>
  <si>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</si>
  <si>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</si>
  <si>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</si>
  <si>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</si>
  <si>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</si>
  <si>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</si>
  <si>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</si>
  <si>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</si>
  <si>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</si>
  <si>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</si>
  <si>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</si>
  <si>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</si>
  <si>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</si>
  <si>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</si>
  <si>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</si>
  <si>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</si>
  <si>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</si>
  <si>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</si>
  <si>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</si>
  <si>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</si>
  <si>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</si>
  <si>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</si>
  <si>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</si>
  <si>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</si>
  <si>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</si>
  <si>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</si>
  <si>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</si>
  <si>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</si>
  <si>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</si>
  <si>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</si>
  <si>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</si>
  <si>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</si>
  <si>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</si>
  <si>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</si>
  <si>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</si>
  <si>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</si>
  <si>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</si>
  <si>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</si>
  <si>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</si>
  <si>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</si>
  <si>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</si>
  <si>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</si>
  <si>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</si>
  <si>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</si>
  <si>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</si>
  <si>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</si>
  <si>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</si>
  <si>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</si>
  <si>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</si>
  <si>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</si>
  <si>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</si>
  <si>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</si>
  <si>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</si>
  <si>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</si>
  <si>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</si>
  <si>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</si>
  <si>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</si>
  <si>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</si>
  <si>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</si>
  <si>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</si>
  <si>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</si>
  <si>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</si>
  <si>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</si>
  <si>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</si>
  <si>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</si>
  <si>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</si>
  <si>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</si>
  <si>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</si>
  <si>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</si>
  <si>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</si>
  <si>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</si>
  <si>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</si>
  <si>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</si>
  <si>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</si>
  <si>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</si>
  <si>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</si>
  <si>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</si>
  <si>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</si>
  <si>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</si>
  <si>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</si>
  <si>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</si>
  <si>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</si>
  <si>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</si>
  <si>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</si>
  <si>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</si>
  <si>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</si>
  <si>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</si>
  <si>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</si>
  <si>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</si>
  <si>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</si>
  <si>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</si>
  <si>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</si>
  <si>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</si>
  <si>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</si>
  <si>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</si>
  <si>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</si>
  <si>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</si>
  <si>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</si>
  <si>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</si>
  <si>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</si>
  <si>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</si>
  <si>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</si>
  <si>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</si>
  <si>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</si>
  <si>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</si>
  <si>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</si>
  <si>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</si>
  <si>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</si>
  <si>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</si>
  <si>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</si>
  <si>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</si>
  <si>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</si>
  <si>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</si>
  <si>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</si>
  <si>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</si>
  <si>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</si>
  <si>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</si>
  <si>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</si>
  <si>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</si>
  <si>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</si>
  <si>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</si>
  <si>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</si>
  <si>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</si>
  <si>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</si>
  <si>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</si>
  <si>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</si>
  <si>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</si>
  <si>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</si>
  <si>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</si>
  <si>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</si>
  <si>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</si>
  <si>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</si>
  <si>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</si>
  <si>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</si>
  <si>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</si>
  <si>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</si>
  <si>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</si>
  <si>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</si>
  <si>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</si>
  <si>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</si>
  <si>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</si>
  <si>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</si>
  <si>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</si>
  <si>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</si>
  <si>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</si>
  <si>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</si>
  <si>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</si>
  <si>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</si>
  <si>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</si>
  <si>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</si>
  <si>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</si>
  <si>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</si>
  <si>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</si>
  <si>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</si>
  <si>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</si>
  <si>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</si>
  <si>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</si>
  <si>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</si>
  <si>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</si>
  <si>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</si>
  <si>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</si>
  <si>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</si>
  <si>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</si>
  <si>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</si>
  <si>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</si>
  <si>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</si>
  <si>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</si>
  <si>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</si>
  <si>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</si>
  <si>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</si>
  <si>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</si>
  <si>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</si>
  <si>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</si>
  <si>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</si>
  <si>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</si>
  <si>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</si>
  <si>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</si>
  <si>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</si>
  <si>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</si>
  <si>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</si>
  <si>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</si>
  <si>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</si>
  <si>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</si>
  <si>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</si>
  <si>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</si>
  <si>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</si>
  <si>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</si>
  <si>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</si>
  <si>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</si>
  <si>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</si>
  <si>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</si>
  <si>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</si>
  <si>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</si>
  <si>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</si>
  <si>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</si>
  <si>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</si>
  <si>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</si>
  <si>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</si>
  <si>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</si>
  <si>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</si>
  <si>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</si>
  <si>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</si>
  <si>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</si>
  <si>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</si>
  <si>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</si>
  <si>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</si>
  <si>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</si>
  <si>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</si>
  <si>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</si>
  <si>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</si>
  <si>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</si>
  <si>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</si>
  <si>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</si>
  <si>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</si>
  <si>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</si>
  <si>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</si>
  <si>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</si>
  <si>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</si>
  <si>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</si>
  <si>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</si>
  <si>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</si>
  <si>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</si>
  <si>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</si>
  <si>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</si>
  <si>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</si>
  <si>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</si>
  <si>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</si>
  <si>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</si>
  <si>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</si>
  <si>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</si>
  <si>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</si>
  <si>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</si>
  <si>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</si>
  <si>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</si>
  <si>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</si>
  <si>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</si>
  <si>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</si>
  <si>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</si>
  <si>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</si>
  <si>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</si>
  <si>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</si>
  <si>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</si>
  <si>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</si>
  <si>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</si>
  <si>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</si>
  <si>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</si>
  <si>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</si>
  <si>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</si>
  <si>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</si>
  <si>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</si>
  <si>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</si>
  <si>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</si>
  <si>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</si>
  <si>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</si>
  <si>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</si>
  <si>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</si>
  <si>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</si>
  <si>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</si>
  <si>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</si>
  <si>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</si>
  <si>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</si>
  <si>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</si>
  <si>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</si>
  <si>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</si>
  <si>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</si>
  <si>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</si>
  <si>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</si>
  <si>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</si>
  <si>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</si>
  <si>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</si>
  <si>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</si>
  <si>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</si>
  <si>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</si>
  <si>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</si>
  <si>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</si>
  <si>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</si>
  <si>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</si>
  <si>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</si>
  <si>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</si>
  <si>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</si>
  <si>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</si>
  <si>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</si>
  <si>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</si>
  <si>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</si>
  <si>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</si>
  <si>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</si>
  <si>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</si>
  <si>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</si>
  <si>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</si>
  <si>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</si>
  <si>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</si>
  <si>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</si>
  <si>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</si>
  <si>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</si>
  <si>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</si>
  <si>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</si>
  <si>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</si>
  <si>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</si>
  <si>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</si>
  <si>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</si>
  <si>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</si>
  <si>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</si>
  <si>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</si>
  <si>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</si>
  <si>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</si>
  <si>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</si>
  <si>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</si>
  <si>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</si>
  <si>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</si>
  <si>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</si>
  <si>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</si>
  <si>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</si>
  <si>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</si>
  <si>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</si>
  <si>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</si>
  <si>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</si>
  <si>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</si>
  <si>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</si>
  <si>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</si>
  <si>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</si>
  <si>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</si>
  <si>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</si>
  <si>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</si>
  <si>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</si>
  <si>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</si>
  <si>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</si>
  <si>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</si>
  <si>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</si>
  <si>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</si>
  <si>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</si>
  <si>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</si>
  <si>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</si>
  <si>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</si>
  <si>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</si>
  <si>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</si>
  <si>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</si>
  <si>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</si>
  <si>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</si>
  <si>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</si>
  <si>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</si>
  <si>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</si>
  <si>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</si>
  <si>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</si>
  <si>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</si>
  <si>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</si>
  <si>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</si>
  <si>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</si>
  <si>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</si>
  <si>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</si>
  <si>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</si>
  <si>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</si>
  <si>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</si>
  <si>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</si>
  <si>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</si>
  <si>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</si>
  <si>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</si>
  <si>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</si>
  <si>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</si>
  <si>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</si>
  <si>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</si>
  <si>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</si>
  <si>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</si>
  <si>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</si>
  <si>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</si>
  <si>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</si>
  <si>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</si>
  <si>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</si>
  <si>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</si>
  <si>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</si>
  <si>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</si>
  <si>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</si>
  <si>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</si>
  <si>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</si>
  <si>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</si>
  <si>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</si>
  <si>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</si>
  <si>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</si>
  <si>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</si>
  <si>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</si>
  <si>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</si>
  <si>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</si>
  <si>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</si>
  <si>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</si>
  <si>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</si>
  <si>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</si>
  <si>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</si>
  <si>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</si>
  <si>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</si>
  <si>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</si>
  <si>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</si>
  <si>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</si>
  <si>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</si>
  <si>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</si>
  <si>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</si>
  <si>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</si>
  <si>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</si>
  <si>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</si>
  <si>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</si>
  <si>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</si>
  <si>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</si>
  <si>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</si>
  <si>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</si>
  <si>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</si>
  <si>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</si>
  <si>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</si>
  <si>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</si>
  <si>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</si>
  <si>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</si>
  <si>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</si>
  <si>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</si>
  <si>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</si>
  <si>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</si>
  <si>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</si>
  <si>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</si>
  <si>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</si>
  <si>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</si>
  <si>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</si>
  <si>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</si>
  <si>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</si>
  <si>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</si>
  <si>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</si>
  <si>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</si>
  <si>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</si>
  <si>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</si>
  <si>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</si>
  <si>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</si>
  <si>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</si>
  <si>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</si>
  <si>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</si>
  <si>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</si>
  <si>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Provisiones del Estado</t>
  </si>
  <si>
    <t>g5) Inversiones en Fideicomisos, Mandatos y Otros Análogos
        Fideicomiso de Desastres Naturales (Informativo)</t>
  </si>
  <si>
    <t>2022 (d)</t>
  </si>
  <si>
    <t>31 de diciembre de 2021 (e)</t>
  </si>
  <si>
    <t>Saldo al 31 de diciembre de 2021 (d)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</si>
  <si>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</si>
  <si>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</si>
  <si>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</si>
  <si>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</si>
  <si>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</si>
  <si>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</si>
  <si>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</si>
  <si>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</si>
  <si>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</si>
  <si>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</si>
  <si>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</si>
  <si>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J. Transferencias y Asignaciones</t>
  </si>
  <si>
    <t>Al 31 de diciembre de 2022 y al 31 de diciembre de 2021 (b)</t>
  </si>
  <si>
    <t>Del 1 enero al 31 de diciembre de 2022 (b)</t>
  </si>
  <si>
    <t>Del 1 de enero al 31 de diciembre de 2022 (b)</t>
  </si>
  <si>
    <t/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</si>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</sst>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 indent="3"/>
    </xf>
    <xf numFmtId="171" fontId="44" fillId="0" borderId="14" xfId="47" applyFont="1" applyFill="1" applyBorder="1" applyAlignment="1" applyProtection="1">
      <alignment/>
      <protection locked="0"/>
    </xf>
    <xf numFmtId="171" fontId="47" fillId="33" borderId="15" xfId="47" applyFont="1" applyFill="1" applyBorder="1" applyAlignment="1">
      <alignment/>
    </xf>
    <xf numFmtId="171" fontId="48" fillId="33" borderId="15" xfId="47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9"/>
    </xf>
    <xf numFmtId="0" fontId="0" fillId="34" borderId="14" xfId="0" applyFill="1" applyBorder="1" applyAlignment="1">
      <alignment horizontal="left" indent="3"/>
    </xf>
    <xf numFmtId="0" fontId="44" fillId="34" borderId="14" xfId="0" applyFont="1" applyFill="1" applyBorder="1" applyAlignment="1">
      <alignment horizontal="left" indent="3"/>
    </xf>
    <xf numFmtId="171" fontId="44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left" vertical="center" wrapText="1" indent="6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14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4" xfId="0" applyFill="1" applyBorder="1" applyAlignment="1" applyProtection="1">
      <alignment horizontal="left" vertical="center" indent="6"/>
      <protection locked="0"/>
    </xf>
    <xf numFmtId="0" fontId="29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4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horizontal="left" vertical="center" wrapText="1" indent="9"/>
    </xf>
    <xf numFmtId="171" fontId="44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 horizontal="left" vertical="center" indent="12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vertical="center"/>
    </xf>
    <xf numFmtId="171" fontId="44" fillId="34" borderId="14" xfId="47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34" borderId="13" xfId="0" applyFont="1" applyFill="1" applyBorder="1" applyAlignment="1">
      <alignment horizontal="left" vertical="center" wrapText="1" indent="3"/>
    </xf>
    <xf numFmtId="171" fontId="44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4" fillId="34" borderId="14" xfId="0" applyFont="1" applyFill="1" applyBorder="1" applyAlignment="1">
      <alignment horizontal="left" vertical="center" indent="2"/>
    </xf>
    <xf numFmtId="0" fontId="0" fillId="34" borderId="14" xfId="0" applyFill="1" applyBorder="1" applyAlignment="1" applyProtection="1">
      <alignment horizontal="left" vertical="center" indent="4"/>
      <protection locked="0"/>
    </xf>
    <xf numFmtId="0" fontId="29" fillId="34" borderId="14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29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9" fillId="34" borderId="13" xfId="0" applyFont="1" applyFill="1" applyBorder="1" applyAlignment="1">
      <alignment/>
    </xf>
    <xf numFmtId="0" fontId="44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4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4" xfId="0" applyFill="1" applyBorder="1" applyAlignment="1" applyProtection="1">
      <alignment horizontal="left" vertical="center" wrapText="1" indent="6"/>
      <protection locked="0"/>
    </xf>
    <xf numFmtId="4" fontId="44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4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4" fillId="34" borderId="16" xfId="47" applyNumberFormat="1" applyFont="1" applyFill="1" applyBorder="1" applyAlignment="1" applyProtection="1">
      <alignment vertical="center"/>
      <protection locked="0"/>
    </xf>
    <xf numFmtId="4" fontId="44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4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4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6"/>
    </xf>
    <xf numFmtId="0" fontId="44" fillId="34" borderId="14" xfId="0" applyFont="1" applyFill="1" applyBorder="1" applyAlignment="1">
      <alignment horizontal="left" indent="6"/>
    </xf>
    <xf numFmtId="0" fontId="0" fillId="34" borderId="17" xfId="0" applyFill="1" applyBorder="1" applyAlignment="1">
      <alignment horizontal="center" vertical="center"/>
    </xf>
    <xf numFmtId="173" fontId="49" fillId="0" borderId="20" xfId="0" applyNumberFormat="1" applyFont="1" applyFill="1" applyBorder="1" applyAlignment="1">
      <alignment horizontal="right" vertical="center" wrapText="1" readingOrder="1"/>
    </xf>
    <xf numFmtId="173" fontId="49" fillId="0" borderId="13" xfId="0" applyNumberFormat="1" applyFont="1" applyFill="1" applyBorder="1" applyAlignment="1">
      <alignment horizontal="right" vertical="center" wrapText="1" readingOrder="1"/>
    </xf>
    <xf numFmtId="173" fontId="49" fillId="0" borderId="21" xfId="0" applyNumberFormat="1" applyFont="1" applyFill="1" applyBorder="1" applyAlignment="1">
      <alignment horizontal="right" vertical="center" wrapText="1" readingOrder="1"/>
    </xf>
    <xf numFmtId="173" fontId="49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4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0" fillId="0" borderId="14" xfId="47" applyNumberFormat="1" applyFont="1" applyBorder="1" applyAlignment="1">
      <alignment/>
    </xf>
    <xf numFmtId="171" fontId="44" fillId="34" borderId="14" xfId="47" applyFont="1" applyFill="1" applyBorder="1" applyAlignment="1" applyProtection="1">
      <alignment/>
      <protection/>
    </xf>
    <xf numFmtId="0" fontId="44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4" fillId="0" borderId="14" xfId="47" applyNumberFormat="1" applyFont="1" applyFill="1" applyBorder="1" applyAlignment="1">
      <alignment/>
    </xf>
    <xf numFmtId="4" fontId="44" fillId="34" borderId="13" xfId="47" applyNumberFormat="1" applyFont="1" applyFill="1" applyBorder="1" applyAlignment="1" applyProtection="1">
      <alignment vertical="center"/>
      <protection locked="0"/>
    </xf>
    <xf numFmtId="0" fontId="45" fillId="34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1" fillId="34" borderId="26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70" zoomScaleNormal="70" zoomScalePageLayoutView="0" workbookViewId="0" topLeftCell="A1">
      <selection activeCell="E63" sqref="E63"/>
    </sheetView>
  </sheetViews>
  <sheetFormatPr defaultColWidth="1.8515625" defaultRowHeight="15" zeroHeight="1"/>
  <cols>
    <col min="1" max="1" width="90.8515625" style="0" customWidth="1"/>
    <col min="2" max="3" width="20.00390625" style="87" customWidth="1"/>
    <col min="4" max="4" width="94.421875" style="0" customWidth="1"/>
    <col min="5" max="6" width="20.00390625" style="87" customWidth="1"/>
    <col min="7" max="255" width="11.421875" style="0" hidden="1" customWidth="1"/>
  </cols>
  <sheetData>
    <row r="1" spans="1:6" ht="21">
      <c r="A1" s="141" t="s">
        <v>0</v>
      </c>
      <c r="B1" s="141"/>
      <c r="C1" s="141"/>
      <c r="D1" s="141"/>
      <c r="E1" s="141"/>
      <c r="F1" s="141"/>
    </row>
    <row r="2" spans="1:6" ht="14.25">
      <c r="A2" s="142" t="s">
        <v>290</v>
      </c>
      <c r="B2" s="143"/>
      <c r="C2" s="143"/>
      <c r="D2" s="143"/>
      <c r="E2" s="143"/>
      <c r="F2" s="144"/>
    </row>
    <row r="3" spans="1:6" ht="14.25">
      <c r="A3" s="145" t="s">
        <v>1</v>
      </c>
      <c r="B3" s="146"/>
      <c r="C3" s="146"/>
      <c r="D3" s="146"/>
      <c r="E3" s="146"/>
      <c r="F3" s="147"/>
    </row>
    <row r="4" spans="1:6" ht="14.25">
      <c r="A4" s="148" t="s">
        <v>477</v>
      </c>
      <c r="B4" s="149"/>
      <c r="C4" s="149"/>
      <c r="D4" s="149"/>
      <c r="E4" s="149"/>
      <c r="F4" s="150"/>
    </row>
    <row r="5" spans="1:6" ht="14.25">
      <c r="A5" s="151" t="s">
        <v>2</v>
      </c>
      <c r="B5" s="152"/>
      <c r="C5" s="152"/>
      <c r="D5" s="152"/>
      <c r="E5" s="152"/>
      <c r="F5" s="153"/>
    </row>
    <row r="6" spans="1:6" ht="28.5">
      <c r="A6" s="1" t="s">
        <v>3</v>
      </c>
      <c r="B6" s="81" t="s">
        <v>462</v>
      </c>
      <c r="C6" s="88" t="s">
        <v>463</v>
      </c>
      <c r="D6" s="3" t="s">
        <v>4</v>
      </c>
      <c r="E6" s="81" t="s">
        <v>462</v>
      </c>
      <c r="F6" s="88" t="s">
        <v>463</v>
      </c>
    </row>
    <row r="7" spans="1:6" ht="14.25">
      <c r="A7" s="60" t="s">
        <v>5</v>
      </c>
      <c r="B7" s="82"/>
      <c r="C7" s="82"/>
      <c r="D7" s="71" t="s">
        <v>6</v>
      </c>
      <c r="E7" s="82"/>
      <c r="F7" s="82"/>
    </row>
    <row r="8" spans="1:6" ht="14.25">
      <c r="A8" s="60" t="s">
        <v>7</v>
      </c>
      <c r="B8" s="82"/>
      <c r="C8" s="82"/>
      <c r="D8" s="71" t="s">
        <v>8</v>
      </c>
      <c r="E8" s="82"/>
      <c r="F8" s="82"/>
    </row>
    <row r="9" spans="1:6" ht="14.25">
      <c r="A9" s="22" t="s">
        <v>9</v>
      </c>
      <c r="B9" s="85">
        <f>SUM(B10:B16)</f>
        <v>2526247681.0299997</v>
      </c>
      <c r="C9" s="85">
        <f>SUM(C10:C16)</f>
        <v>1212944675.5000002</v>
      </c>
      <c r="D9" s="112" t="s">
        <v>10</v>
      </c>
      <c r="E9" s="85">
        <f>SUM(E10:E18)</f>
        <v>105408768.33</v>
      </c>
      <c r="F9" s="85">
        <f>SUM(F10:F18)</f>
        <v>94039331.82</v>
      </c>
    </row>
    <row r="10" spans="1:6" ht="14.25">
      <c r="A10" s="73" t="s">
        <v>11</v>
      </c>
      <c r="B10" s="127">
        <v>165200</v>
      </c>
      <c r="C10" s="127">
        <v>165200</v>
      </c>
      <c r="D10" s="74" t="s">
        <v>12</v>
      </c>
      <c r="E10" s="83">
        <v>0</v>
      </c>
      <c r="F10" s="127">
        <v>0</v>
      </c>
    </row>
    <row r="11" spans="1:6" ht="14.25">
      <c r="A11" s="73" t="s">
        <v>13</v>
      </c>
      <c r="B11" s="127">
        <v>383256385.64</v>
      </c>
      <c r="C11" s="127">
        <v>142582927.76</v>
      </c>
      <c r="D11" s="74" t="s">
        <v>14</v>
      </c>
      <c r="E11" s="127">
        <v>4069266.54</v>
      </c>
      <c r="F11" s="127">
        <v>20718465.96</v>
      </c>
    </row>
    <row r="12" spans="1:6" ht="14.25">
      <c r="A12" s="73" t="s">
        <v>15</v>
      </c>
      <c r="B12" s="83">
        <v>0</v>
      </c>
      <c r="C12" s="127">
        <v>0</v>
      </c>
      <c r="D12" s="74" t="s">
        <v>16</v>
      </c>
      <c r="E12" s="83">
        <v>33555506.43</v>
      </c>
      <c r="F12" s="127">
        <v>0</v>
      </c>
    </row>
    <row r="13" spans="1:6" ht="14.25">
      <c r="A13" s="73" t="s">
        <v>17</v>
      </c>
      <c r="B13" s="127">
        <v>2020714406.71</v>
      </c>
      <c r="C13" s="127">
        <v>958658390.1</v>
      </c>
      <c r="D13" s="74" t="s">
        <v>18</v>
      </c>
      <c r="E13" s="127">
        <v>25960050</v>
      </c>
      <c r="F13" s="127">
        <v>12774798</v>
      </c>
    </row>
    <row r="14" spans="1:6" ht="14.25">
      <c r="A14" s="73" t="s">
        <v>19</v>
      </c>
      <c r="B14" s="83">
        <v>0</v>
      </c>
      <c r="C14" s="127">
        <v>0</v>
      </c>
      <c r="D14" s="74" t="s">
        <v>20</v>
      </c>
      <c r="E14" s="127">
        <v>333733.7</v>
      </c>
      <c r="F14" s="127">
        <v>0</v>
      </c>
    </row>
    <row r="15" spans="1:6" ht="14.25">
      <c r="A15" s="73" t="s">
        <v>21</v>
      </c>
      <c r="B15" s="127">
        <v>122111688.68</v>
      </c>
      <c r="C15" s="127">
        <v>111538157.64</v>
      </c>
      <c r="D15" s="74" t="s">
        <v>22</v>
      </c>
      <c r="E15" s="83">
        <v>0</v>
      </c>
      <c r="F15" s="127">
        <v>0</v>
      </c>
    </row>
    <row r="16" spans="1:6" ht="14.25">
      <c r="A16" s="73" t="s">
        <v>23</v>
      </c>
      <c r="B16" s="83">
        <v>0</v>
      </c>
      <c r="C16" s="127">
        <v>0</v>
      </c>
      <c r="D16" s="74" t="s">
        <v>24</v>
      </c>
      <c r="E16" s="127">
        <v>4125105.77</v>
      </c>
      <c r="F16" s="127">
        <v>23631190.58</v>
      </c>
    </row>
    <row r="17" spans="1:6" ht="14.25">
      <c r="A17" s="22" t="s">
        <v>25</v>
      </c>
      <c r="B17" s="85">
        <f>SUM(B18:B24)</f>
        <v>16328770.48</v>
      </c>
      <c r="C17" s="85">
        <f>SUM(C18:C24)</f>
        <v>60879907.59</v>
      </c>
      <c r="D17" s="74" t="s">
        <v>26</v>
      </c>
      <c r="E17" s="83">
        <v>0</v>
      </c>
      <c r="F17" s="127">
        <v>0</v>
      </c>
    </row>
    <row r="18" spans="1:6" ht="14.25">
      <c r="A18" s="75" t="s">
        <v>27</v>
      </c>
      <c r="B18" s="83">
        <v>0</v>
      </c>
      <c r="C18" s="127">
        <v>0</v>
      </c>
      <c r="D18" s="74" t="s">
        <v>28</v>
      </c>
      <c r="E18" s="127">
        <v>37365105.89</v>
      </c>
      <c r="F18" s="127">
        <v>36914877.28</v>
      </c>
    </row>
    <row r="19" spans="1:6" ht="14.25">
      <c r="A19" s="75" t="s">
        <v>29</v>
      </c>
      <c r="B19" s="83">
        <v>0</v>
      </c>
      <c r="C19" s="127">
        <v>0</v>
      </c>
      <c r="D19" s="112" t="s">
        <v>30</v>
      </c>
      <c r="E19" s="85">
        <f>SUM(E20:E22)</f>
        <v>0</v>
      </c>
      <c r="F19" s="85">
        <f>SUM(F20:F22)</f>
        <v>0</v>
      </c>
    </row>
    <row r="20" spans="1:6" ht="14.25">
      <c r="A20" s="75" t="s">
        <v>31</v>
      </c>
      <c r="B20" s="127">
        <v>375666.08</v>
      </c>
      <c r="C20" s="127">
        <v>959150.99</v>
      </c>
      <c r="D20" s="74" t="s">
        <v>32</v>
      </c>
      <c r="E20" s="83">
        <v>0</v>
      </c>
      <c r="F20" s="127">
        <v>0</v>
      </c>
    </row>
    <row r="21" spans="1:6" ht="14.25">
      <c r="A21" s="75" t="s">
        <v>33</v>
      </c>
      <c r="B21" s="127">
        <v>1444637</v>
      </c>
      <c r="C21" s="127">
        <v>5343012</v>
      </c>
      <c r="D21" s="74" t="s">
        <v>34</v>
      </c>
      <c r="E21" s="83">
        <v>0</v>
      </c>
      <c r="F21" s="127">
        <v>0</v>
      </c>
    </row>
    <row r="22" spans="1:6" ht="14.25">
      <c r="A22" s="75" t="s">
        <v>35</v>
      </c>
      <c r="B22" s="127">
        <v>13895728</v>
      </c>
      <c r="C22" s="127">
        <v>53965005.2</v>
      </c>
      <c r="D22" s="74" t="s">
        <v>36</v>
      </c>
      <c r="E22" s="83">
        <v>0</v>
      </c>
      <c r="F22" s="127">
        <v>0</v>
      </c>
    </row>
    <row r="23" spans="1:6" ht="14.25">
      <c r="A23" s="75" t="s">
        <v>37</v>
      </c>
      <c r="B23" s="127">
        <v>612739.4</v>
      </c>
      <c r="C23" s="127">
        <v>612739.4</v>
      </c>
      <c r="D23" s="112" t="s">
        <v>38</v>
      </c>
      <c r="E23" s="85">
        <f>E24+E25</f>
        <v>57233999.46</v>
      </c>
      <c r="F23" s="85">
        <f>F24+F25</f>
        <v>49584189.38</v>
      </c>
    </row>
    <row r="24" spans="1:6" ht="14.25">
      <c r="A24" s="75" t="s">
        <v>39</v>
      </c>
      <c r="B24" s="83">
        <v>0</v>
      </c>
      <c r="C24" s="127">
        <v>0</v>
      </c>
      <c r="D24" s="74" t="s">
        <v>40</v>
      </c>
      <c r="E24" s="127">
        <v>57233999.46</v>
      </c>
      <c r="F24" s="127">
        <v>49584189.38</v>
      </c>
    </row>
    <row r="25" spans="1:6" ht="14.25">
      <c r="A25" s="22" t="s">
        <v>41</v>
      </c>
      <c r="B25" s="85">
        <f>SUM(B26:B30)</f>
        <v>45139279.75</v>
      </c>
      <c r="C25" s="85">
        <f>SUM(C26:C30)</f>
        <v>4528748.45</v>
      </c>
      <c r="D25" s="74" t="s">
        <v>42</v>
      </c>
      <c r="E25" s="83">
        <v>0</v>
      </c>
      <c r="F25" s="127">
        <v>0</v>
      </c>
    </row>
    <row r="26" spans="1:6" ht="14.25">
      <c r="A26" s="75" t="s">
        <v>43</v>
      </c>
      <c r="B26" s="83">
        <v>0</v>
      </c>
      <c r="C26" s="127">
        <v>0</v>
      </c>
      <c r="D26" s="112" t="s">
        <v>44</v>
      </c>
      <c r="E26" s="85">
        <v>0</v>
      </c>
      <c r="F26" s="85">
        <v>0</v>
      </c>
    </row>
    <row r="27" spans="1:6" ht="14.25">
      <c r="A27" s="75" t="s">
        <v>45</v>
      </c>
      <c r="B27" s="127">
        <v>4033063.32</v>
      </c>
      <c r="C27" s="127">
        <v>4140610.03</v>
      </c>
      <c r="D27" s="112" t="s">
        <v>46</v>
      </c>
      <c r="E27" s="85">
        <f>SUM(E28:E30)</f>
        <v>0</v>
      </c>
      <c r="F27" s="85">
        <f>SUM(F28:F30)</f>
        <v>0</v>
      </c>
    </row>
    <row r="28" spans="1:6" ht="14.25">
      <c r="A28" s="75" t="s">
        <v>47</v>
      </c>
      <c r="B28" s="83">
        <v>732152.52</v>
      </c>
      <c r="C28" s="127">
        <v>0</v>
      </c>
      <c r="D28" s="74" t="s">
        <v>48</v>
      </c>
      <c r="E28" s="83">
        <v>0</v>
      </c>
      <c r="F28" s="127">
        <v>0</v>
      </c>
    </row>
    <row r="29" spans="1:6" ht="14.25">
      <c r="A29" s="75" t="s">
        <v>49</v>
      </c>
      <c r="B29" s="127">
        <v>40374063.91</v>
      </c>
      <c r="C29" s="127">
        <v>388138.42</v>
      </c>
      <c r="D29" s="74" t="s">
        <v>50</v>
      </c>
      <c r="E29" s="83">
        <v>0</v>
      </c>
      <c r="F29" s="127">
        <v>0</v>
      </c>
    </row>
    <row r="30" spans="1:6" ht="14.25">
      <c r="A30" s="75" t="s">
        <v>51</v>
      </c>
      <c r="B30" s="83">
        <v>0</v>
      </c>
      <c r="C30" s="127">
        <v>0</v>
      </c>
      <c r="D30" s="74" t="s">
        <v>52</v>
      </c>
      <c r="E30" s="83">
        <v>0</v>
      </c>
      <c r="F30" s="127">
        <v>0</v>
      </c>
    </row>
    <row r="31" spans="1:6" ht="14.25">
      <c r="A31" s="22" t="s">
        <v>53</v>
      </c>
      <c r="B31" s="85">
        <f>SUM(B32:B36)</f>
        <v>0</v>
      </c>
      <c r="C31" s="85">
        <f>SUM(C32:C36)</f>
        <v>0</v>
      </c>
      <c r="D31" s="112" t="s">
        <v>54</v>
      </c>
      <c r="E31" s="85">
        <f>SUM(E32:E37)</f>
        <v>112736731.47</v>
      </c>
      <c r="F31" s="85">
        <f>SUM(F32:F37)</f>
        <v>107421041.55000001</v>
      </c>
    </row>
    <row r="32" spans="1:6" ht="14.25">
      <c r="A32" s="75" t="s">
        <v>55</v>
      </c>
      <c r="B32" s="83">
        <v>0</v>
      </c>
      <c r="C32" s="127">
        <v>0</v>
      </c>
      <c r="D32" s="74" t="s">
        <v>56</v>
      </c>
      <c r="E32" s="127">
        <v>68909066.32</v>
      </c>
      <c r="F32" s="127">
        <v>61993292.67</v>
      </c>
    </row>
    <row r="33" spans="1:6" ht="14.25">
      <c r="A33" s="75" t="s">
        <v>57</v>
      </c>
      <c r="B33" s="83">
        <v>0</v>
      </c>
      <c r="C33" s="127">
        <v>0</v>
      </c>
      <c r="D33" s="74" t="s">
        <v>58</v>
      </c>
      <c r="E33" s="127">
        <v>43827665.15</v>
      </c>
      <c r="F33" s="127">
        <v>45427748.88</v>
      </c>
    </row>
    <row r="34" spans="1:6" ht="14.25">
      <c r="A34" s="75" t="s">
        <v>59</v>
      </c>
      <c r="B34" s="83">
        <v>0</v>
      </c>
      <c r="C34" s="127">
        <v>0</v>
      </c>
      <c r="D34" s="74" t="s">
        <v>60</v>
      </c>
      <c r="E34" s="83">
        <v>0</v>
      </c>
      <c r="F34" s="127">
        <v>0</v>
      </c>
    </row>
    <row r="35" spans="1:6" ht="14.25">
      <c r="A35" s="75" t="s">
        <v>61</v>
      </c>
      <c r="B35" s="83">
        <v>0</v>
      </c>
      <c r="C35" s="127">
        <v>0</v>
      </c>
      <c r="D35" s="74" t="s">
        <v>62</v>
      </c>
      <c r="E35" s="83">
        <v>0</v>
      </c>
      <c r="F35" s="127">
        <v>0</v>
      </c>
    </row>
    <row r="36" spans="1:6" ht="14.25">
      <c r="A36" s="75" t="s">
        <v>63</v>
      </c>
      <c r="B36" s="83">
        <v>0</v>
      </c>
      <c r="C36" s="127">
        <v>0</v>
      </c>
      <c r="D36" s="74" t="s">
        <v>64</v>
      </c>
      <c r="E36" s="83">
        <v>0</v>
      </c>
      <c r="F36" s="127">
        <v>0</v>
      </c>
    </row>
    <row r="37" spans="1:6" ht="14.25">
      <c r="A37" s="22" t="s">
        <v>65</v>
      </c>
      <c r="B37" s="83">
        <v>0</v>
      </c>
      <c r="C37" s="127">
        <v>0</v>
      </c>
      <c r="D37" s="74" t="s">
        <v>66</v>
      </c>
      <c r="E37" s="83">
        <v>0</v>
      </c>
      <c r="F37" s="127">
        <v>0</v>
      </c>
    </row>
    <row r="38" spans="1:6" ht="14.25">
      <c r="A38" s="22" t="s">
        <v>67</v>
      </c>
      <c r="B38" s="85">
        <f>SUM(B39:B40)</f>
        <v>0</v>
      </c>
      <c r="C38" s="85">
        <f>SUM(C39:C40)</f>
        <v>0</v>
      </c>
      <c r="D38" s="112" t="s">
        <v>68</v>
      </c>
      <c r="E38" s="85">
        <f>SUM(E39:E41)</f>
        <v>0</v>
      </c>
      <c r="F38" s="85">
        <f>SUM(F39:F41)</f>
        <v>0</v>
      </c>
    </row>
    <row r="39" spans="1:6" ht="14.25">
      <c r="A39" s="75" t="s">
        <v>69</v>
      </c>
      <c r="B39" s="83">
        <v>0</v>
      </c>
      <c r="C39" s="127">
        <v>0</v>
      </c>
      <c r="D39" s="74" t="s">
        <v>70</v>
      </c>
      <c r="E39" s="83">
        <v>0</v>
      </c>
      <c r="F39" s="127">
        <v>0</v>
      </c>
    </row>
    <row r="40" spans="1:6" ht="14.25">
      <c r="A40" s="75" t="s">
        <v>71</v>
      </c>
      <c r="B40" s="83">
        <v>0</v>
      </c>
      <c r="C40" s="127">
        <v>0</v>
      </c>
      <c r="D40" s="74" t="s">
        <v>72</v>
      </c>
      <c r="E40" s="83">
        <v>0</v>
      </c>
      <c r="F40" s="127">
        <v>0</v>
      </c>
    </row>
    <row r="41" spans="1:6" ht="14.25">
      <c r="A41" s="22" t="s">
        <v>73</v>
      </c>
      <c r="B41" s="85">
        <f>SUM(B42:B45)</f>
        <v>368745</v>
      </c>
      <c r="C41" s="85">
        <f>SUM(C42:C45)</f>
        <v>368745</v>
      </c>
      <c r="D41" s="74" t="s">
        <v>74</v>
      </c>
      <c r="E41" s="83">
        <v>0</v>
      </c>
      <c r="F41" s="127">
        <v>0</v>
      </c>
    </row>
    <row r="42" spans="1:6" ht="14.25">
      <c r="A42" s="75" t="s">
        <v>75</v>
      </c>
      <c r="B42" s="83">
        <v>368745</v>
      </c>
      <c r="C42" s="127">
        <v>368745</v>
      </c>
      <c r="D42" s="112" t="s">
        <v>76</v>
      </c>
      <c r="E42" s="85">
        <f>SUM(E43:E45)</f>
        <v>0</v>
      </c>
      <c r="F42" s="85">
        <f>SUM(F43:F45)</f>
        <v>0</v>
      </c>
    </row>
    <row r="43" spans="1:6" ht="14.25">
      <c r="A43" s="75" t="s">
        <v>77</v>
      </c>
      <c r="B43" s="83">
        <v>0</v>
      </c>
      <c r="C43" s="127">
        <v>0</v>
      </c>
      <c r="D43" s="74" t="s">
        <v>78</v>
      </c>
      <c r="E43" s="83">
        <v>0</v>
      </c>
      <c r="F43" s="127">
        <v>0</v>
      </c>
    </row>
    <row r="44" spans="1:6" ht="14.25">
      <c r="A44" s="75" t="s">
        <v>79</v>
      </c>
      <c r="B44" s="83">
        <v>0</v>
      </c>
      <c r="C44" s="127">
        <v>0</v>
      </c>
      <c r="D44" s="74" t="s">
        <v>80</v>
      </c>
      <c r="E44" s="83">
        <v>0</v>
      </c>
      <c r="F44" s="127">
        <v>0</v>
      </c>
    </row>
    <row r="45" spans="1:6" ht="14.25">
      <c r="A45" s="75" t="s">
        <v>81</v>
      </c>
      <c r="B45" s="83">
        <v>0</v>
      </c>
      <c r="C45" s="127">
        <v>0</v>
      </c>
      <c r="D45" s="74" t="s">
        <v>82</v>
      </c>
      <c r="E45" s="83">
        <v>0</v>
      </c>
      <c r="F45" s="127">
        <v>0</v>
      </c>
    </row>
    <row r="46" spans="1:6" ht="14.25">
      <c r="A46" s="33"/>
      <c r="B46" s="84"/>
      <c r="C46" s="84"/>
      <c r="D46" s="33"/>
      <c r="E46" s="84"/>
      <c r="F46" s="84"/>
    </row>
    <row r="47" spans="1:6" ht="14.25">
      <c r="A47" s="22" t="s">
        <v>83</v>
      </c>
      <c r="B47" s="85">
        <f>B9+B17+B25+B31+B38+B41</f>
        <v>2588084476.2599998</v>
      </c>
      <c r="C47" s="85">
        <f>C9+C17+C25+C31+C38+C41</f>
        <v>1278722076.5400002</v>
      </c>
      <c r="D47" s="71" t="s">
        <v>84</v>
      </c>
      <c r="E47" s="85">
        <f>E9+E19+E23+E26+E27+E31+E38+E42</f>
        <v>275379499.26</v>
      </c>
      <c r="F47" s="85">
        <f>F9+F19+F23+F26+F27+F31+F38+F42</f>
        <v>251044562.75</v>
      </c>
    </row>
    <row r="48" spans="1:6" ht="14.25">
      <c r="A48" s="33"/>
      <c r="B48" s="84"/>
      <c r="C48" s="84"/>
      <c r="D48" s="33"/>
      <c r="E48" s="84"/>
      <c r="F48" s="84"/>
    </row>
    <row r="49" spans="1:6" ht="14.25">
      <c r="A49" s="60" t="s">
        <v>85</v>
      </c>
      <c r="B49" s="84"/>
      <c r="C49" s="84"/>
      <c r="D49" s="71" t="s">
        <v>86</v>
      </c>
      <c r="E49" s="84"/>
      <c r="F49" s="84"/>
    </row>
    <row r="50" spans="1:6" ht="14.25">
      <c r="A50" s="21" t="s">
        <v>87</v>
      </c>
      <c r="B50" s="127">
        <v>119738980.86</v>
      </c>
      <c r="C50" s="127">
        <v>97622992.08</v>
      </c>
      <c r="D50" s="72" t="s">
        <v>88</v>
      </c>
      <c r="E50" s="83">
        <v>0</v>
      </c>
      <c r="F50" s="127">
        <v>0</v>
      </c>
    </row>
    <row r="51" spans="1:6" ht="14.25">
      <c r="A51" s="21" t="s">
        <v>89</v>
      </c>
      <c r="B51" s="127">
        <v>208661740.03</v>
      </c>
      <c r="C51" s="127">
        <v>162763918.88</v>
      </c>
      <c r="D51" s="72" t="s">
        <v>90</v>
      </c>
      <c r="E51" s="83">
        <v>0</v>
      </c>
      <c r="F51" s="127">
        <v>0</v>
      </c>
    </row>
    <row r="52" spans="1:6" ht="14.25">
      <c r="A52" s="21" t="s">
        <v>91</v>
      </c>
      <c r="B52" s="127">
        <v>14256468606.19</v>
      </c>
      <c r="C52" s="127">
        <v>13900121379.49</v>
      </c>
      <c r="D52" s="72" t="s">
        <v>92</v>
      </c>
      <c r="E52" s="127">
        <v>2149903579.08</v>
      </c>
      <c r="F52" s="127">
        <v>2207137578.54</v>
      </c>
    </row>
    <row r="53" spans="1:6" ht="14.25">
      <c r="A53" s="21" t="s">
        <v>93</v>
      </c>
      <c r="B53" s="127">
        <v>1758581380.8</v>
      </c>
      <c r="C53" s="127">
        <v>1594224824.37</v>
      </c>
      <c r="D53" s="72" t="s">
        <v>94</v>
      </c>
      <c r="E53" s="127">
        <v>13500000</v>
      </c>
      <c r="F53" s="127">
        <v>13500000</v>
      </c>
    </row>
    <row r="54" spans="1:6" ht="14.25">
      <c r="A54" s="21" t="s">
        <v>95</v>
      </c>
      <c r="B54" s="127">
        <v>91869027.36</v>
      </c>
      <c r="C54" s="127">
        <v>92366214.4</v>
      </c>
      <c r="D54" s="72" t="s">
        <v>96</v>
      </c>
      <c r="E54" s="83">
        <v>0</v>
      </c>
      <c r="F54" s="127">
        <v>0</v>
      </c>
    </row>
    <row r="55" spans="1:6" ht="14.25">
      <c r="A55" s="21" t="s">
        <v>97</v>
      </c>
      <c r="B55" s="127">
        <v>-1295575305.88</v>
      </c>
      <c r="C55" s="127">
        <v>-1197775639.53</v>
      </c>
      <c r="D55" s="76" t="s">
        <v>98</v>
      </c>
      <c r="E55" s="83">
        <v>0</v>
      </c>
      <c r="F55" s="127">
        <v>0</v>
      </c>
    </row>
    <row r="56" spans="1:6" ht="14.25">
      <c r="A56" s="21" t="s">
        <v>99</v>
      </c>
      <c r="B56" s="83">
        <v>0</v>
      </c>
      <c r="C56" s="127">
        <v>0</v>
      </c>
      <c r="D56" s="33"/>
      <c r="E56" s="84"/>
      <c r="F56" s="84"/>
    </row>
    <row r="57" spans="1:6" ht="14.25">
      <c r="A57" s="21" t="s">
        <v>100</v>
      </c>
      <c r="B57" s="83">
        <v>0</v>
      </c>
      <c r="C57" s="127">
        <v>0</v>
      </c>
      <c r="D57" s="71" t="s">
        <v>101</v>
      </c>
      <c r="E57" s="85">
        <f>SUM(E50:E55)</f>
        <v>2163403579.08</v>
      </c>
      <c r="F57" s="85">
        <f>SUM(F50:F55)</f>
        <v>2220637578.54</v>
      </c>
    </row>
    <row r="58" spans="1:6" ht="14.25">
      <c r="A58" s="21" t="s">
        <v>102</v>
      </c>
      <c r="B58" s="83">
        <v>0</v>
      </c>
      <c r="C58" s="127">
        <v>0</v>
      </c>
      <c r="D58" s="33"/>
      <c r="E58" s="84"/>
      <c r="F58" s="84"/>
    </row>
    <row r="59" spans="1:6" ht="14.25">
      <c r="A59" s="33"/>
      <c r="B59" s="84"/>
      <c r="C59" s="84"/>
      <c r="D59" s="71" t="s">
        <v>103</v>
      </c>
      <c r="E59" s="85">
        <f>E47+E57</f>
        <v>2438783078.34</v>
      </c>
      <c r="F59" s="85">
        <f>F47+F57</f>
        <v>2471682141.29</v>
      </c>
    </row>
    <row r="60" spans="1:6" ht="14.25">
      <c r="A60" s="22" t="s">
        <v>104</v>
      </c>
      <c r="B60" s="85">
        <f>SUM(B50:B58)</f>
        <v>15139744429.36</v>
      </c>
      <c r="C60" s="85">
        <f>SUM(C50:C58)</f>
        <v>14649323689.689999</v>
      </c>
      <c r="D60" s="33"/>
      <c r="E60" s="84"/>
      <c r="F60" s="84"/>
    </row>
    <row r="61" spans="1:6" ht="14.25">
      <c r="A61" s="33"/>
      <c r="B61" s="84"/>
      <c r="C61" s="84"/>
      <c r="D61" s="77" t="s">
        <v>105</v>
      </c>
      <c r="E61" s="84"/>
      <c r="F61" s="84"/>
    </row>
    <row r="62" spans="1:6" ht="14.25">
      <c r="A62" s="22" t="s">
        <v>106</v>
      </c>
      <c r="B62" s="85">
        <f>SUM(B47+B60)</f>
        <v>17727828905.62</v>
      </c>
      <c r="C62" s="85">
        <f>SUM(C47+C60)</f>
        <v>15928045766.23</v>
      </c>
      <c r="D62" s="33"/>
      <c r="E62" s="84"/>
      <c r="F62" s="84"/>
    </row>
    <row r="63" spans="1:6" ht="14.25">
      <c r="A63" s="33"/>
      <c r="B63" s="82"/>
      <c r="C63" s="82"/>
      <c r="D63" s="71" t="s">
        <v>107</v>
      </c>
      <c r="E63" s="85">
        <f>SUM(E64:E66)</f>
        <v>3399949414.4700003</v>
      </c>
      <c r="F63" s="85">
        <f>SUM(F64:F66)</f>
        <v>3338405436.35</v>
      </c>
    </row>
    <row r="64" spans="1:6" ht="14.25">
      <c r="A64" s="33"/>
      <c r="B64" s="82"/>
      <c r="C64" s="82"/>
      <c r="D64" s="78" t="s">
        <v>108</v>
      </c>
      <c r="E64" s="127">
        <v>2806813862.69</v>
      </c>
      <c r="F64" s="127">
        <v>2829825052.64</v>
      </c>
    </row>
    <row r="65" spans="1:6" ht="14.25">
      <c r="A65" s="33"/>
      <c r="B65" s="82"/>
      <c r="C65" s="82"/>
      <c r="D65" s="79" t="s">
        <v>109</v>
      </c>
      <c r="E65" s="127">
        <v>593135551.78</v>
      </c>
      <c r="F65" s="127">
        <v>508580383.71</v>
      </c>
    </row>
    <row r="66" spans="1:6" ht="14.25">
      <c r="A66" s="33"/>
      <c r="B66" s="82"/>
      <c r="C66" s="82"/>
      <c r="D66" s="78" t="s">
        <v>110</v>
      </c>
      <c r="E66" s="83">
        <v>0</v>
      </c>
      <c r="F66" s="127">
        <v>0</v>
      </c>
    </row>
    <row r="67" spans="1:6" ht="14.25">
      <c r="A67" s="33"/>
      <c r="B67" s="82"/>
      <c r="C67" s="82"/>
      <c r="D67" s="33"/>
      <c r="E67" s="84"/>
      <c r="F67" s="84"/>
    </row>
    <row r="68" spans="1:6" ht="14.25">
      <c r="A68" s="33"/>
      <c r="B68" s="82"/>
      <c r="C68" s="82"/>
      <c r="D68" s="71" t="s">
        <v>111</v>
      </c>
      <c r="E68" s="85">
        <f>SUM(E69:E73)</f>
        <v>11889096412.81</v>
      </c>
      <c r="F68" s="85">
        <f>SUM(F69:F73)</f>
        <v>10117958188.59</v>
      </c>
    </row>
    <row r="69" spans="1:6" ht="14.25">
      <c r="A69" s="57"/>
      <c r="B69" s="82"/>
      <c r="C69" s="82"/>
      <c r="D69" s="78" t="s">
        <v>112</v>
      </c>
      <c r="E69" s="127">
        <v>2126075131.95</v>
      </c>
      <c r="F69" s="127">
        <v>803931218.59</v>
      </c>
    </row>
    <row r="70" spans="1:6" ht="14.25">
      <c r="A70" s="57"/>
      <c r="B70" s="82"/>
      <c r="C70" s="82"/>
      <c r="D70" s="78" t="s">
        <v>113</v>
      </c>
      <c r="E70" s="127">
        <v>8876695436.81</v>
      </c>
      <c r="F70" s="127">
        <v>8717903173.48</v>
      </c>
    </row>
    <row r="71" spans="1:6" ht="14.25">
      <c r="A71" s="57"/>
      <c r="B71" s="82"/>
      <c r="C71" s="82"/>
      <c r="D71" s="78" t="s">
        <v>114</v>
      </c>
      <c r="E71" s="127">
        <v>886325844.05</v>
      </c>
      <c r="F71" s="127">
        <v>596123796.52</v>
      </c>
    </row>
    <row r="72" spans="1:6" ht="14.25">
      <c r="A72" s="57"/>
      <c r="B72" s="82"/>
      <c r="C72" s="82"/>
      <c r="D72" s="78" t="s">
        <v>115</v>
      </c>
      <c r="E72" s="83">
        <v>0</v>
      </c>
      <c r="F72" s="127">
        <v>0</v>
      </c>
    </row>
    <row r="73" spans="1:6" ht="14.25">
      <c r="A73" s="57"/>
      <c r="B73" s="82"/>
      <c r="C73" s="82"/>
      <c r="D73" s="78" t="s">
        <v>116</v>
      </c>
      <c r="E73" s="83">
        <v>0</v>
      </c>
      <c r="F73" s="127">
        <v>0</v>
      </c>
    </row>
    <row r="74" spans="1:6" ht="14.25">
      <c r="A74" s="57"/>
      <c r="B74" s="82"/>
      <c r="C74" s="82"/>
      <c r="D74" s="33"/>
      <c r="E74" s="84"/>
      <c r="F74" s="84"/>
    </row>
    <row r="75" spans="1:6" ht="14.25">
      <c r="A75" s="57"/>
      <c r="B75" s="82"/>
      <c r="C75" s="82"/>
      <c r="D75" s="71" t="s">
        <v>117</v>
      </c>
      <c r="E75" s="85">
        <f>E76+E77</f>
        <v>0</v>
      </c>
      <c r="F75" s="85">
        <f>F76+F77</f>
        <v>0</v>
      </c>
    </row>
    <row r="76" spans="1:6" ht="14.25">
      <c r="A76" s="57"/>
      <c r="B76" s="82"/>
      <c r="C76" s="82"/>
      <c r="D76" s="72" t="s">
        <v>118</v>
      </c>
      <c r="E76" s="83">
        <v>0</v>
      </c>
      <c r="F76" s="127">
        <v>0</v>
      </c>
    </row>
    <row r="77" spans="1:6" ht="14.25">
      <c r="A77" s="57"/>
      <c r="B77" s="82"/>
      <c r="C77" s="82"/>
      <c r="D77" s="72" t="s">
        <v>119</v>
      </c>
      <c r="E77" s="83">
        <v>0</v>
      </c>
      <c r="F77" s="127">
        <v>0</v>
      </c>
    </row>
    <row r="78" spans="1:6" ht="14.25">
      <c r="A78" s="57"/>
      <c r="B78" s="82"/>
      <c r="C78" s="82"/>
      <c r="D78" s="33"/>
      <c r="E78" s="84"/>
      <c r="F78" s="84"/>
    </row>
    <row r="79" spans="1:6" ht="14.25">
      <c r="A79" s="57"/>
      <c r="B79" s="82"/>
      <c r="C79" s="82"/>
      <c r="D79" s="71" t="s">
        <v>120</v>
      </c>
      <c r="E79" s="85">
        <f>E63+E68+E75</f>
        <v>15289045827.279999</v>
      </c>
      <c r="F79" s="85">
        <f>F63+F68+F75</f>
        <v>13456363624.94</v>
      </c>
    </row>
    <row r="80" spans="1:6" ht="14.25">
      <c r="A80" s="57"/>
      <c r="B80" s="82"/>
      <c r="C80" s="82"/>
      <c r="D80" s="33"/>
      <c r="E80" s="84"/>
      <c r="F80" s="84"/>
    </row>
    <row r="81" spans="1:6" ht="14.25">
      <c r="A81" s="57"/>
      <c r="B81" s="82"/>
      <c r="C81" s="82"/>
      <c r="D81" s="71" t="s">
        <v>121</v>
      </c>
      <c r="E81" s="85">
        <f>E59+E79</f>
        <v>17727828905.62</v>
      </c>
      <c r="F81" s="85">
        <f>F59+F79</f>
        <v>15928045766.23</v>
      </c>
    </row>
    <row r="82" spans="1:6" ht="14.25">
      <c r="A82" s="41"/>
      <c r="B82" s="86"/>
      <c r="C82" s="86"/>
      <c r="D82" s="34"/>
      <c r="E82" s="86"/>
      <c r="F82" s="86"/>
    </row>
    <row r="83" spans="5:6" ht="14.25">
      <c r="E83" s="128"/>
      <c r="F83" s="128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9:F45 E47:F47 B9:C62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:C25 B17:C17 B9:C9 E9 E31 E27 E23 E19 E38 E42 E47 E57 E59 E63 E68 E75 E79 E81 C38:C47 C60:C62 F9:F47 F7:F8 F48:F81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80" zoomScaleNormal="80" zoomScalePageLayoutView="0" workbookViewId="0" topLeftCell="A1">
      <selection activeCell="F24" sqref="F24"/>
    </sheetView>
  </sheetViews>
  <sheetFormatPr defaultColWidth="1.1484375" defaultRowHeight="15" zeroHeight="1"/>
  <cols>
    <col min="1" max="1" width="59.140625" style="0" customWidth="1"/>
    <col min="2" max="2" width="18.8515625" style="87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5.5">
      <c r="A1" s="156" t="s">
        <v>122</v>
      </c>
      <c r="B1" s="156"/>
      <c r="C1" s="156"/>
      <c r="D1" s="156"/>
      <c r="E1" s="156"/>
      <c r="F1" s="156"/>
      <c r="G1" s="156"/>
      <c r="H1" s="156"/>
    </row>
    <row r="2" spans="1:8" ht="14.25">
      <c r="A2" s="142" t="s">
        <v>290</v>
      </c>
      <c r="B2" s="143"/>
      <c r="C2" s="143"/>
      <c r="D2" s="143"/>
      <c r="E2" s="143"/>
      <c r="F2" s="143"/>
      <c r="G2" s="143"/>
      <c r="H2" s="144"/>
    </row>
    <row r="3" spans="1:8" ht="14.25">
      <c r="A3" s="145" t="s">
        <v>123</v>
      </c>
      <c r="B3" s="146"/>
      <c r="C3" s="146"/>
      <c r="D3" s="146"/>
      <c r="E3" s="146"/>
      <c r="F3" s="146"/>
      <c r="G3" s="146"/>
      <c r="H3" s="147"/>
    </row>
    <row r="4" spans="1:8" ht="14.25">
      <c r="A4" s="148" t="s">
        <v>477</v>
      </c>
      <c r="B4" s="149"/>
      <c r="C4" s="149"/>
      <c r="D4" s="149"/>
      <c r="E4" s="149"/>
      <c r="F4" s="149"/>
      <c r="G4" s="149"/>
      <c r="H4" s="150"/>
    </row>
    <row r="5" spans="1:8" ht="14.25">
      <c r="A5" s="151" t="s">
        <v>2</v>
      </c>
      <c r="B5" s="152"/>
      <c r="C5" s="152"/>
      <c r="D5" s="152"/>
      <c r="E5" s="152"/>
      <c r="F5" s="152"/>
      <c r="G5" s="152"/>
      <c r="H5" s="153"/>
    </row>
    <row r="6" spans="1:8" ht="62.25" customHeight="1">
      <c r="A6" s="5" t="s">
        <v>124</v>
      </c>
      <c r="B6" s="89" t="s">
        <v>464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4.25">
      <c r="A7" s="57"/>
      <c r="B7" s="90"/>
      <c r="C7" s="57"/>
      <c r="D7" s="57"/>
      <c r="E7" s="57"/>
      <c r="F7" s="57"/>
      <c r="G7" s="57"/>
      <c r="H7" s="57"/>
    </row>
    <row r="8" spans="1:8" ht="14.25">
      <c r="A8" s="63" t="s">
        <v>131</v>
      </c>
      <c r="B8" s="85">
        <f>B9+B13</f>
        <v>2256721767.92</v>
      </c>
      <c r="C8" s="85">
        <f aca="true" t="shared" si="0" ref="C8:H8">C9+C13</f>
        <v>0</v>
      </c>
      <c r="D8" s="85">
        <f t="shared" si="0"/>
        <v>49584189.38</v>
      </c>
      <c r="E8" s="85">
        <f t="shared" si="0"/>
        <v>0</v>
      </c>
      <c r="F8" s="85">
        <f t="shared" si="0"/>
        <v>2207137578.54</v>
      </c>
      <c r="G8" s="85">
        <f t="shared" si="0"/>
        <v>185600853.57</v>
      </c>
      <c r="H8" s="85">
        <f t="shared" si="0"/>
        <v>0</v>
      </c>
    </row>
    <row r="9" spans="1:8" ht="14.25">
      <c r="A9" s="64" t="s">
        <v>132</v>
      </c>
      <c r="B9" s="83">
        <f>SUM(B10:B12)</f>
        <v>0</v>
      </c>
      <c r="C9" s="83">
        <f aca="true" t="shared" si="1" ref="C9:H9">SUM(C10:C12)</f>
        <v>0</v>
      </c>
      <c r="D9" s="83">
        <f t="shared" si="1"/>
        <v>0</v>
      </c>
      <c r="E9" s="8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</row>
    <row r="10" spans="1:8" ht="14.25">
      <c r="A10" s="65" t="s">
        <v>133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4.25">
      <c r="A11" s="65" t="s">
        <v>134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4.25">
      <c r="A12" s="65" t="s">
        <v>135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256" ht="14.25">
      <c r="A13" s="64" t="s">
        <v>136</v>
      </c>
      <c r="B13" s="83">
        <f>SUM(B14+B20+B21)</f>
        <v>2256721767.92</v>
      </c>
      <c r="C13" s="83">
        <f aca="true" t="shared" si="2" ref="C13:BN13">SUM(C14+C20+C21)</f>
        <v>0</v>
      </c>
      <c r="D13" s="83">
        <f t="shared" si="2"/>
        <v>49584189.38</v>
      </c>
      <c r="E13" s="83">
        <f t="shared" si="2"/>
        <v>0</v>
      </c>
      <c r="F13" s="83">
        <f t="shared" si="2"/>
        <v>2207137578.54</v>
      </c>
      <c r="G13" s="83">
        <f t="shared" si="2"/>
        <v>185600853.57</v>
      </c>
      <c r="H13" s="83">
        <f t="shared" si="2"/>
        <v>0</v>
      </c>
      <c r="I13" s="83">
        <f t="shared" si="2"/>
        <v>0</v>
      </c>
      <c r="J13" s="83">
        <f t="shared" si="2"/>
        <v>0</v>
      </c>
      <c r="K13" s="83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3">
        <f t="shared" si="2"/>
        <v>0</v>
      </c>
      <c r="Q13" s="83">
        <f t="shared" si="2"/>
        <v>0</v>
      </c>
      <c r="R13" s="83">
        <f t="shared" si="2"/>
        <v>0</v>
      </c>
      <c r="S13" s="83">
        <f t="shared" si="2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83">
        <f t="shared" si="2"/>
        <v>0</v>
      </c>
      <c r="AA13" s="83">
        <f t="shared" si="2"/>
        <v>0</v>
      </c>
      <c r="AB13" s="83">
        <f t="shared" si="2"/>
        <v>0</v>
      </c>
      <c r="AC13" s="83">
        <f t="shared" si="2"/>
        <v>0</v>
      </c>
      <c r="AD13" s="83">
        <f t="shared" si="2"/>
        <v>0</v>
      </c>
      <c r="AE13" s="83">
        <f t="shared" si="2"/>
        <v>0</v>
      </c>
      <c r="AF13" s="83">
        <f t="shared" si="2"/>
        <v>0</v>
      </c>
      <c r="AG13" s="83">
        <f t="shared" si="2"/>
        <v>0</v>
      </c>
      <c r="AH13" s="83">
        <f t="shared" si="2"/>
        <v>0</v>
      </c>
      <c r="AI13" s="83">
        <f t="shared" si="2"/>
        <v>0</v>
      </c>
      <c r="AJ13" s="83">
        <f t="shared" si="2"/>
        <v>0</v>
      </c>
      <c r="AK13" s="83">
        <f t="shared" si="2"/>
        <v>0</v>
      </c>
      <c r="AL13" s="83">
        <f t="shared" si="2"/>
        <v>0</v>
      </c>
      <c r="AM13" s="83">
        <f t="shared" si="2"/>
        <v>0</v>
      </c>
      <c r="AN13" s="83">
        <f t="shared" si="2"/>
        <v>0</v>
      </c>
      <c r="AO13" s="83">
        <f t="shared" si="2"/>
        <v>0</v>
      </c>
      <c r="AP13" s="83">
        <f t="shared" si="2"/>
        <v>0</v>
      </c>
      <c r="AQ13" s="83">
        <f t="shared" si="2"/>
        <v>0</v>
      </c>
      <c r="AR13" s="83">
        <f t="shared" si="2"/>
        <v>0</v>
      </c>
      <c r="AS13" s="83">
        <f t="shared" si="2"/>
        <v>0</v>
      </c>
      <c r="AT13" s="83">
        <f t="shared" si="2"/>
        <v>0</v>
      </c>
      <c r="AU13" s="83">
        <f t="shared" si="2"/>
        <v>0</v>
      </c>
      <c r="AV13" s="83">
        <f t="shared" si="2"/>
        <v>0</v>
      </c>
      <c r="AW13" s="83">
        <f t="shared" si="2"/>
        <v>0</v>
      </c>
      <c r="AX13" s="83">
        <f t="shared" si="2"/>
        <v>0</v>
      </c>
      <c r="AY13" s="83">
        <f t="shared" si="2"/>
        <v>0</v>
      </c>
      <c r="AZ13" s="83">
        <f t="shared" si="2"/>
        <v>0</v>
      </c>
      <c r="BA13" s="83">
        <f t="shared" si="2"/>
        <v>0</v>
      </c>
      <c r="BB13" s="83">
        <f t="shared" si="2"/>
        <v>0</v>
      </c>
      <c r="BC13" s="83">
        <f t="shared" si="2"/>
        <v>0</v>
      </c>
      <c r="BD13" s="83">
        <f t="shared" si="2"/>
        <v>0</v>
      </c>
      <c r="BE13" s="83">
        <f t="shared" si="2"/>
        <v>0</v>
      </c>
      <c r="BF13" s="83">
        <f t="shared" si="2"/>
        <v>0</v>
      </c>
      <c r="BG13" s="83">
        <f t="shared" si="2"/>
        <v>0</v>
      </c>
      <c r="BH13" s="83">
        <f t="shared" si="2"/>
        <v>0</v>
      </c>
      <c r="BI13" s="83">
        <f t="shared" si="2"/>
        <v>0</v>
      </c>
      <c r="BJ13" s="83">
        <f t="shared" si="2"/>
        <v>0</v>
      </c>
      <c r="BK13" s="83">
        <f t="shared" si="2"/>
        <v>0</v>
      </c>
      <c r="BL13" s="83">
        <f t="shared" si="2"/>
        <v>0</v>
      </c>
      <c r="BM13" s="83">
        <f t="shared" si="2"/>
        <v>0</v>
      </c>
      <c r="BN13" s="83">
        <f t="shared" si="2"/>
        <v>0</v>
      </c>
      <c r="BO13" s="83">
        <f aca="true" t="shared" si="3" ref="BO13:DZ13">SUM(BO14+BO20+BO21)</f>
        <v>0</v>
      </c>
      <c r="BP13" s="83">
        <f t="shared" si="3"/>
        <v>0</v>
      </c>
      <c r="BQ13" s="83">
        <f t="shared" si="3"/>
        <v>0</v>
      </c>
      <c r="BR13" s="83">
        <f t="shared" si="3"/>
        <v>0</v>
      </c>
      <c r="BS13" s="83">
        <f t="shared" si="3"/>
        <v>0</v>
      </c>
      <c r="BT13" s="83">
        <f t="shared" si="3"/>
        <v>0</v>
      </c>
      <c r="BU13" s="83">
        <f t="shared" si="3"/>
        <v>0</v>
      </c>
      <c r="BV13" s="83">
        <f t="shared" si="3"/>
        <v>0</v>
      </c>
      <c r="BW13" s="83">
        <f t="shared" si="3"/>
        <v>0</v>
      </c>
      <c r="BX13" s="83">
        <f t="shared" si="3"/>
        <v>0</v>
      </c>
      <c r="BY13" s="83">
        <f t="shared" si="3"/>
        <v>0</v>
      </c>
      <c r="BZ13" s="83">
        <f t="shared" si="3"/>
        <v>0</v>
      </c>
      <c r="CA13" s="83">
        <f t="shared" si="3"/>
        <v>0</v>
      </c>
      <c r="CB13" s="83">
        <f t="shared" si="3"/>
        <v>0</v>
      </c>
      <c r="CC13" s="83">
        <f t="shared" si="3"/>
        <v>0</v>
      </c>
      <c r="CD13" s="83">
        <f t="shared" si="3"/>
        <v>0</v>
      </c>
      <c r="CE13" s="83">
        <f t="shared" si="3"/>
        <v>0</v>
      </c>
      <c r="CF13" s="83">
        <f t="shared" si="3"/>
        <v>0</v>
      </c>
      <c r="CG13" s="83">
        <f t="shared" si="3"/>
        <v>0</v>
      </c>
      <c r="CH13" s="83">
        <f t="shared" si="3"/>
        <v>0</v>
      </c>
      <c r="CI13" s="83">
        <f t="shared" si="3"/>
        <v>0</v>
      </c>
      <c r="CJ13" s="83">
        <f t="shared" si="3"/>
        <v>0</v>
      </c>
      <c r="CK13" s="83">
        <f t="shared" si="3"/>
        <v>0</v>
      </c>
      <c r="CL13" s="83">
        <f t="shared" si="3"/>
        <v>0</v>
      </c>
      <c r="CM13" s="83">
        <f t="shared" si="3"/>
        <v>0</v>
      </c>
      <c r="CN13" s="83">
        <f t="shared" si="3"/>
        <v>0</v>
      </c>
      <c r="CO13" s="83">
        <f t="shared" si="3"/>
        <v>0</v>
      </c>
      <c r="CP13" s="83">
        <f t="shared" si="3"/>
        <v>0</v>
      </c>
      <c r="CQ13" s="83">
        <f t="shared" si="3"/>
        <v>0</v>
      </c>
      <c r="CR13" s="83">
        <f t="shared" si="3"/>
        <v>0</v>
      </c>
      <c r="CS13" s="83">
        <f t="shared" si="3"/>
        <v>0</v>
      </c>
      <c r="CT13" s="83">
        <f t="shared" si="3"/>
        <v>0</v>
      </c>
      <c r="CU13" s="83">
        <f t="shared" si="3"/>
        <v>0</v>
      </c>
      <c r="CV13" s="83">
        <f t="shared" si="3"/>
        <v>0</v>
      </c>
      <c r="CW13" s="83">
        <f t="shared" si="3"/>
        <v>0</v>
      </c>
      <c r="CX13" s="83">
        <f t="shared" si="3"/>
        <v>0</v>
      </c>
      <c r="CY13" s="83">
        <f t="shared" si="3"/>
        <v>0</v>
      </c>
      <c r="CZ13" s="83">
        <f t="shared" si="3"/>
        <v>0</v>
      </c>
      <c r="DA13" s="83">
        <f t="shared" si="3"/>
        <v>0</v>
      </c>
      <c r="DB13" s="83">
        <f t="shared" si="3"/>
        <v>0</v>
      </c>
      <c r="DC13" s="83">
        <f t="shared" si="3"/>
        <v>0</v>
      </c>
      <c r="DD13" s="83">
        <f t="shared" si="3"/>
        <v>0</v>
      </c>
      <c r="DE13" s="83">
        <f t="shared" si="3"/>
        <v>0</v>
      </c>
      <c r="DF13" s="83">
        <f t="shared" si="3"/>
        <v>0</v>
      </c>
      <c r="DG13" s="83">
        <f t="shared" si="3"/>
        <v>0</v>
      </c>
      <c r="DH13" s="83">
        <f t="shared" si="3"/>
        <v>0</v>
      </c>
      <c r="DI13" s="83">
        <f t="shared" si="3"/>
        <v>0</v>
      </c>
      <c r="DJ13" s="83">
        <f t="shared" si="3"/>
        <v>0</v>
      </c>
      <c r="DK13" s="83">
        <f t="shared" si="3"/>
        <v>0</v>
      </c>
      <c r="DL13" s="83">
        <f t="shared" si="3"/>
        <v>0</v>
      </c>
      <c r="DM13" s="83">
        <f t="shared" si="3"/>
        <v>0</v>
      </c>
      <c r="DN13" s="83">
        <f t="shared" si="3"/>
        <v>0</v>
      </c>
      <c r="DO13" s="83">
        <f t="shared" si="3"/>
        <v>0</v>
      </c>
      <c r="DP13" s="83">
        <f t="shared" si="3"/>
        <v>0</v>
      </c>
      <c r="DQ13" s="83">
        <f t="shared" si="3"/>
        <v>0</v>
      </c>
      <c r="DR13" s="83">
        <f t="shared" si="3"/>
        <v>0</v>
      </c>
      <c r="DS13" s="83">
        <f t="shared" si="3"/>
        <v>0</v>
      </c>
      <c r="DT13" s="83">
        <f t="shared" si="3"/>
        <v>0</v>
      </c>
      <c r="DU13" s="83">
        <f t="shared" si="3"/>
        <v>0</v>
      </c>
      <c r="DV13" s="83">
        <f t="shared" si="3"/>
        <v>0</v>
      </c>
      <c r="DW13" s="83">
        <f t="shared" si="3"/>
        <v>0</v>
      </c>
      <c r="DX13" s="83">
        <f t="shared" si="3"/>
        <v>0</v>
      </c>
      <c r="DY13" s="83">
        <f t="shared" si="3"/>
        <v>0</v>
      </c>
      <c r="DZ13" s="83">
        <f t="shared" si="3"/>
        <v>0</v>
      </c>
      <c r="EA13" s="83">
        <f aca="true" t="shared" si="4" ref="EA13:GL13">SUM(EA14+EA20+EA21)</f>
        <v>0</v>
      </c>
      <c r="EB13" s="83">
        <f t="shared" si="4"/>
        <v>0</v>
      </c>
      <c r="EC13" s="83">
        <f t="shared" si="4"/>
        <v>0</v>
      </c>
      <c r="ED13" s="83">
        <f t="shared" si="4"/>
        <v>0</v>
      </c>
      <c r="EE13" s="83">
        <f t="shared" si="4"/>
        <v>0</v>
      </c>
      <c r="EF13" s="83">
        <f t="shared" si="4"/>
        <v>0</v>
      </c>
      <c r="EG13" s="83">
        <f t="shared" si="4"/>
        <v>0</v>
      </c>
      <c r="EH13" s="83">
        <f t="shared" si="4"/>
        <v>0</v>
      </c>
      <c r="EI13" s="83">
        <f t="shared" si="4"/>
        <v>0</v>
      </c>
      <c r="EJ13" s="83">
        <f t="shared" si="4"/>
        <v>0</v>
      </c>
      <c r="EK13" s="83">
        <f t="shared" si="4"/>
        <v>0</v>
      </c>
      <c r="EL13" s="83">
        <f t="shared" si="4"/>
        <v>0</v>
      </c>
      <c r="EM13" s="83">
        <f t="shared" si="4"/>
        <v>0</v>
      </c>
      <c r="EN13" s="83">
        <f t="shared" si="4"/>
        <v>0</v>
      </c>
      <c r="EO13" s="83">
        <f t="shared" si="4"/>
        <v>0</v>
      </c>
      <c r="EP13" s="83">
        <f t="shared" si="4"/>
        <v>0</v>
      </c>
      <c r="EQ13" s="83">
        <f t="shared" si="4"/>
        <v>0</v>
      </c>
      <c r="ER13" s="83">
        <f t="shared" si="4"/>
        <v>0</v>
      </c>
      <c r="ES13" s="83">
        <f t="shared" si="4"/>
        <v>0</v>
      </c>
      <c r="ET13" s="83">
        <f t="shared" si="4"/>
        <v>0</v>
      </c>
      <c r="EU13" s="83">
        <f t="shared" si="4"/>
        <v>0</v>
      </c>
      <c r="EV13" s="83">
        <f t="shared" si="4"/>
        <v>0</v>
      </c>
      <c r="EW13" s="83">
        <f t="shared" si="4"/>
        <v>0</v>
      </c>
      <c r="EX13" s="83">
        <f t="shared" si="4"/>
        <v>0</v>
      </c>
      <c r="EY13" s="83">
        <f t="shared" si="4"/>
        <v>0</v>
      </c>
      <c r="EZ13" s="83">
        <f t="shared" si="4"/>
        <v>0</v>
      </c>
      <c r="FA13" s="83">
        <f t="shared" si="4"/>
        <v>0</v>
      </c>
      <c r="FB13" s="83">
        <f t="shared" si="4"/>
        <v>0</v>
      </c>
      <c r="FC13" s="83">
        <f t="shared" si="4"/>
        <v>0</v>
      </c>
      <c r="FD13" s="83">
        <f t="shared" si="4"/>
        <v>0</v>
      </c>
      <c r="FE13" s="83">
        <f t="shared" si="4"/>
        <v>0</v>
      </c>
      <c r="FF13" s="83">
        <f t="shared" si="4"/>
        <v>0</v>
      </c>
      <c r="FG13" s="83">
        <f t="shared" si="4"/>
        <v>0</v>
      </c>
      <c r="FH13" s="83">
        <f t="shared" si="4"/>
        <v>0</v>
      </c>
      <c r="FI13" s="83">
        <f t="shared" si="4"/>
        <v>0</v>
      </c>
      <c r="FJ13" s="83">
        <f t="shared" si="4"/>
        <v>0</v>
      </c>
      <c r="FK13" s="83">
        <f t="shared" si="4"/>
        <v>0</v>
      </c>
      <c r="FL13" s="83">
        <f t="shared" si="4"/>
        <v>0</v>
      </c>
      <c r="FM13" s="83">
        <f t="shared" si="4"/>
        <v>0</v>
      </c>
      <c r="FN13" s="83">
        <f t="shared" si="4"/>
        <v>0</v>
      </c>
      <c r="FO13" s="83">
        <f t="shared" si="4"/>
        <v>0</v>
      </c>
      <c r="FP13" s="83">
        <f t="shared" si="4"/>
        <v>0</v>
      </c>
      <c r="FQ13" s="83">
        <f t="shared" si="4"/>
        <v>0</v>
      </c>
      <c r="FR13" s="83">
        <f t="shared" si="4"/>
        <v>0</v>
      </c>
      <c r="FS13" s="83">
        <f t="shared" si="4"/>
        <v>0</v>
      </c>
      <c r="FT13" s="83">
        <f t="shared" si="4"/>
        <v>0</v>
      </c>
      <c r="FU13" s="83">
        <f t="shared" si="4"/>
        <v>0</v>
      </c>
      <c r="FV13" s="83">
        <f t="shared" si="4"/>
        <v>0</v>
      </c>
      <c r="FW13" s="83">
        <f t="shared" si="4"/>
        <v>0</v>
      </c>
      <c r="FX13" s="83">
        <f t="shared" si="4"/>
        <v>0</v>
      </c>
      <c r="FY13" s="83">
        <f t="shared" si="4"/>
        <v>0</v>
      </c>
      <c r="FZ13" s="83">
        <f t="shared" si="4"/>
        <v>0</v>
      </c>
      <c r="GA13" s="83">
        <f t="shared" si="4"/>
        <v>0</v>
      </c>
      <c r="GB13" s="83">
        <f t="shared" si="4"/>
        <v>0</v>
      </c>
      <c r="GC13" s="83">
        <f t="shared" si="4"/>
        <v>0</v>
      </c>
      <c r="GD13" s="83">
        <f t="shared" si="4"/>
        <v>0</v>
      </c>
      <c r="GE13" s="83">
        <f t="shared" si="4"/>
        <v>0</v>
      </c>
      <c r="GF13" s="83">
        <f t="shared" si="4"/>
        <v>0</v>
      </c>
      <c r="GG13" s="83">
        <f t="shared" si="4"/>
        <v>0</v>
      </c>
      <c r="GH13" s="83">
        <f t="shared" si="4"/>
        <v>0</v>
      </c>
      <c r="GI13" s="83">
        <f t="shared" si="4"/>
        <v>0</v>
      </c>
      <c r="GJ13" s="83">
        <f t="shared" si="4"/>
        <v>0</v>
      </c>
      <c r="GK13" s="83">
        <f t="shared" si="4"/>
        <v>0</v>
      </c>
      <c r="GL13" s="83">
        <f t="shared" si="4"/>
        <v>0</v>
      </c>
      <c r="GM13" s="83">
        <f aca="true" t="shared" si="5" ref="GM13:IV13">SUM(GM14+GM20+GM21)</f>
        <v>0</v>
      </c>
      <c r="GN13" s="83">
        <f t="shared" si="5"/>
        <v>0</v>
      </c>
      <c r="GO13" s="83">
        <f t="shared" si="5"/>
        <v>0</v>
      </c>
      <c r="GP13" s="83">
        <f t="shared" si="5"/>
        <v>0</v>
      </c>
      <c r="GQ13" s="83">
        <f t="shared" si="5"/>
        <v>0</v>
      </c>
      <c r="GR13" s="83">
        <f t="shared" si="5"/>
        <v>0</v>
      </c>
      <c r="GS13" s="83">
        <f t="shared" si="5"/>
        <v>0</v>
      </c>
      <c r="GT13" s="83">
        <f t="shared" si="5"/>
        <v>0</v>
      </c>
      <c r="GU13" s="83">
        <f t="shared" si="5"/>
        <v>0</v>
      </c>
      <c r="GV13" s="83">
        <f t="shared" si="5"/>
        <v>0</v>
      </c>
      <c r="GW13" s="83">
        <f t="shared" si="5"/>
        <v>0</v>
      </c>
      <c r="GX13" s="83">
        <f t="shared" si="5"/>
        <v>0</v>
      </c>
      <c r="GY13" s="83">
        <f t="shared" si="5"/>
        <v>0</v>
      </c>
      <c r="GZ13" s="83">
        <f t="shared" si="5"/>
        <v>0</v>
      </c>
      <c r="HA13" s="83">
        <f t="shared" si="5"/>
        <v>0</v>
      </c>
      <c r="HB13" s="83">
        <f t="shared" si="5"/>
        <v>0</v>
      </c>
      <c r="HC13" s="83">
        <f t="shared" si="5"/>
        <v>0</v>
      </c>
      <c r="HD13" s="83">
        <f t="shared" si="5"/>
        <v>0</v>
      </c>
      <c r="HE13" s="83">
        <f t="shared" si="5"/>
        <v>0</v>
      </c>
      <c r="HF13" s="83">
        <f t="shared" si="5"/>
        <v>0</v>
      </c>
      <c r="HG13" s="83">
        <f t="shared" si="5"/>
        <v>0</v>
      </c>
      <c r="HH13" s="83">
        <f t="shared" si="5"/>
        <v>0</v>
      </c>
      <c r="HI13" s="83">
        <f t="shared" si="5"/>
        <v>0</v>
      </c>
      <c r="HJ13" s="83">
        <f t="shared" si="5"/>
        <v>0</v>
      </c>
      <c r="HK13" s="83">
        <f t="shared" si="5"/>
        <v>0</v>
      </c>
      <c r="HL13" s="83">
        <f t="shared" si="5"/>
        <v>0</v>
      </c>
      <c r="HM13" s="83">
        <f t="shared" si="5"/>
        <v>0</v>
      </c>
      <c r="HN13" s="83">
        <f t="shared" si="5"/>
        <v>0</v>
      </c>
      <c r="HO13" s="83">
        <f t="shared" si="5"/>
        <v>0</v>
      </c>
      <c r="HP13" s="83">
        <f t="shared" si="5"/>
        <v>0</v>
      </c>
      <c r="HQ13" s="83">
        <f t="shared" si="5"/>
        <v>0</v>
      </c>
      <c r="HR13" s="83">
        <f t="shared" si="5"/>
        <v>0</v>
      </c>
      <c r="HS13" s="83">
        <f t="shared" si="5"/>
        <v>0</v>
      </c>
      <c r="HT13" s="83">
        <f t="shared" si="5"/>
        <v>0</v>
      </c>
      <c r="HU13" s="83">
        <f t="shared" si="5"/>
        <v>0</v>
      </c>
      <c r="HV13" s="83">
        <f t="shared" si="5"/>
        <v>0</v>
      </c>
      <c r="HW13" s="83">
        <f t="shared" si="5"/>
        <v>0</v>
      </c>
      <c r="HX13" s="83">
        <f t="shared" si="5"/>
        <v>0</v>
      </c>
      <c r="HY13" s="83">
        <f t="shared" si="5"/>
        <v>0</v>
      </c>
      <c r="HZ13" s="83">
        <f t="shared" si="5"/>
        <v>0</v>
      </c>
      <c r="IA13" s="83">
        <f t="shared" si="5"/>
        <v>0</v>
      </c>
      <c r="IB13" s="83">
        <f t="shared" si="5"/>
        <v>0</v>
      </c>
      <c r="IC13" s="83">
        <f t="shared" si="5"/>
        <v>0</v>
      </c>
      <c r="ID13" s="83">
        <f t="shared" si="5"/>
        <v>0</v>
      </c>
      <c r="IE13" s="83">
        <f t="shared" si="5"/>
        <v>0</v>
      </c>
      <c r="IF13" s="83">
        <f t="shared" si="5"/>
        <v>0</v>
      </c>
      <c r="IG13" s="83">
        <f t="shared" si="5"/>
        <v>0</v>
      </c>
      <c r="IH13" s="83">
        <f t="shared" si="5"/>
        <v>0</v>
      </c>
      <c r="II13" s="83">
        <f t="shared" si="5"/>
        <v>0</v>
      </c>
      <c r="IJ13" s="83">
        <f t="shared" si="5"/>
        <v>0</v>
      </c>
      <c r="IK13" s="83">
        <f t="shared" si="5"/>
        <v>0</v>
      </c>
      <c r="IL13" s="83">
        <f t="shared" si="5"/>
        <v>0</v>
      </c>
      <c r="IM13" s="83">
        <f t="shared" si="5"/>
        <v>0</v>
      </c>
      <c r="IN13" s="83">
        <f t="shared" si="5"/>
        <v>0</v>
      </c>
      <c r="IO13" s="83">
        <f t="shared" si="5"/>
        <v>0</v>
      </c>
      <c r="IP13" s="83">
        <f t="shared" si="5"/>
        <v>0</v>
      </c>
      <c r="IQ13" s="83">
        <f t="shared" si="5"/>
        <v>0</v>
      </c>
      <c r="IR13" s="83">
        <f t="shared" si="5"/>
        <v>0</v>
      </c>
      <c r="IS13" s="83">
        <f t="shared" si="5"/>
        <v>0</v>
      </c>
      <c r="IT13" s="83">
        <f t="shared" si="5"/>
        <v>0</v>
      </c>
      <c r="IU13" s="120">
        <f t="shared" si="5"/>
        <v>0</v>
      </c>
      <c r="IV13" s="120">
        <f t="shared" si="5"/>
        <v>0</v>
      </c>
    </row>
    <row r="14" spans="1:256" ht="14.25">
      <c r="A14" s="65" t="s">
        <v>137</v>
      </c>
      <c r="B14" s="83">
        <f>SUM(B15:B19)</f>
        <v>2256721767.92</v>
      </c>
      <c r="C14" s="83">
        <f aca="true" t="shared" si="6" ref="C14:BN14">SUM(C15:C19)</f>
        <v>0</v>
      </c>
      <c r="D14" s="83">
        <f t="shared" si="6"/>
        <v>49584189.38</v>
      </c>
      <c r="E14" s="83">
        <f t="shared" si="6"/>
        <v>0</v>
      </c>
      <c r="F14" s="83">
        <f t="shared" si="6"/>
        <v>2207137578.54</v>
      </c>
      <c r="G14" s="83">
        <f t="shared" si="6"/>
        <v>185600853.57</v>
      </c>
      <c r="H14" s="83">
        <f t="shared" si="6"/>
        <v>0</v>
      </c>
      <c r="I14" s="83">
        <f t="shared" si="6"/>
        <v>0</v>
      </c>
      <c r="J14" s="83">
        <f t="shared" si="6"/>
        <v>0</v>
      </c>
      <c r="K14" s="83">
        <f t="shared" si="6"/>
        <v>0</v>
      </c>
      <c r="L14" s="83">
        <f t="shared" si="6"/>
        <v>0</v>
      </c>
      <c r="M14" s="83">
        <f t="shared" si="6"/>
        <v>0</v>
      </c>
      <c r="N14" s="83">
        <f t="shared" si="6"/>
        <v>0</v>
      </c>
      <c r="O14" s="83">
        <f t="shared" si="6"/>
        <v>0</v>
      </c>
      <c r="P14" s="83">
        <f t="shared" si="6"/>
        <v>0</v>
      </c>
      <c r="Q14" s="83">
        <f t="shared" si="6"/>
        <v>0</v>
      </c>
      <c r="R14" s="83">
        <f t="shared" si="6"/>
        <v>0</v>
      </c>
      <c r="S14" s="83">
        <f t="shared" si="6"/>
        <v>0</v>
      </c>
      <c r="T14" s="83">
        <f t="shared" si="6"/>
        <v>0</v>
      </c>
      <c r="U14" s="83">
        <f t="shared" si="6"/>
        <v>0</v>
      </c>
      <c r="V14" s="83">
        <f t="shared" si="6"/>
        <v>0</v>
      </c>
      <c r="W14" s="83">
        <f t="shared" si="6"/>
        <v>0</v>
      </c>
      <c r="X14" s="83">
        <f t="shared" si="6"/>
        <v>0</v>
      </c>
      <c r="Y14" s="83">
        <f t="shared" si="6"/>
        <v>0</v>
      </c>
      <c r="Z14" s="83">
        <f t="shared" si="6"/>
        <v>0</v>
      </c>
      <c r="AA14" s="83">
        <f t="shared" si="6"/>
        <v>0</v>
      </c>
      <c r="AB14" s="83">
        <f t="shared" si="6"/>
        <v>0</v>
      </c>
      <c r="AC14" s="83">
        <f t="shared" si="6"/>
        <v>0</v>
      </c>
      <c r="AD14" s="83">
        <f t="shared" si="6"/>
        <v>0</v>
      </c>
      <c r="AE14" s="83">
        <f t="shared" si="6"/>
        <v>0</v>
      </c>
      <c r="AF14" s="83">
        <f t="shared" si="6"/>
        <v>0</v>
      </c>
      <c r="AG14" s="83">
        <f t="shared" si="6"/>
        <v>0</v>
      </c>
      <c r="AH14" s="83">
        <f t="shared" si="6"/>
        <v>0</v>
      </c>
      <c r="AI14" s="83">
        <f t="shared" si="6"/>
        <v>0</v>
      </c>
      <c r="AJ14" s="83">
        <f t="shared" si="6"/>
        <v>0</v>
      </c>
      <c r="AK14" s="83">
        <f t="shared" si="6"/>
        <v>0</v>
      </c>
      <c r="AL14" s="83">
        <f t="shared" si="6"/>
        <v>0</v>
      </c>
      <c r="AM14" s="83">
        <f t="shared" si="6"/>
        <v>0</v>
      </c>
      <c r="AN14" s="83">
        <f t="shared" si="6"/>
        <v>0</v>
      </c>
      <c r="AO14" s="83">
        <f t="shared" si="6"/>
        <v>0</v>
      </c>
      <c r="AP14" s="83">
        <f t="shared" si="6"/>
        <v>0</v>
      </c>
      <c r="AQ14" s="83">
        <f t="shared" si="6"/>
        <v>0</v>
      </c>
      <c r="AR14" s="83">
        <f t="shared" si="6"/>
        <v>0</v>
      </c>
      <c r="AS14" s="83">
        <f t="shared" si="6"/>
        <v>0</v>
      </c>
      <c r="AT14" s="83">
        <f t="shared" si="6"/>
        <v>0</v>
      </c>
      <c r="AU14" s="83">
        <f t="shared" si="6"/>
        <v>0</v>
      </c>
      <c r="AV14" s="83">
        <f t="shared" si="6"/>
        <v>0</v>
      </c>
      <c r="AW14" s="83">
        <f t="shared" si="6"/>
        <v>0</v>
      </c>
      <c r="AX14" s="83">
        <f t="shared" si="6"/>
        <v>0</v>
      </c>
      <c r="AY14" s="83">
        <f t="shared" si="6"/>
        <v>0</v>
      </c>
      <c r="AZ14" s="83">
        <f t="shared" si="6"/>
        <v>0</v>
      </c>
      <c r="BA14" s="83">
        <f t="shared" si="6"/>
        <v>0</v>
      </c>
      <c r="BB14" s="83">
        <f t="shared" si="6"/>
        <v>0</v>
      </c>
      <c r="BC14" s="83">
        <f t="shared" si="6"/>
        <v>0</v>
      </c>
      <c r="BD14" s="83">
        <f t="shared" si="6"/>
        <v>0</v>
      </c>
      <c r="BE14" s="83">
        <f t="shared" si="6"/>
        <v>0</v>
      </c>
      <c r="BF14" s="83">
        <f t="shared" si="6"/>
        <v>0</v>
      </c>
      <c r="BG14" s="83">
        <f t="shared" si="6"/>
        <v>0</v>
      </c>
      <c r="BH14" s="83">
        <f t="shared" si="6"/>
        <v>0</v>
      </c>
      <c r="BI14" s="83">
        <f t="shared" si="6"/>
        <v>0</v>
      </c>
      <c r="BJ14" s="83">
        <f t="shared" si="6"/>
        <v>0</v>
      </c>
      <c r="BK14" s="83">
        <f t="shared" si="6"/>
        <v>0</v>
      </c>
      <c r="BL14" s="83">
        <f t="shared" si="6"/>
        <v>0</v>
      </c>
      <c r="BM14" s="83">
        <f t="shared" si="6"/>
        <v>0</v>
      </c>
      <c r="BN14" s="83">
        <f t="shared" si="6"/>
        <v>0</v>
      </c>
      <c r="BO14" s="83">
        <f aca="true" t="shared" si="7" ref="BO14:DZ14">SUM(BO15:BO19)</f>
        <v>0</v>
      </c>
      <c r="BP14" s="83">
        <f t="shared" si="7"/>
        <v>0</v>
      </c>
      <c r="BQ14" s="83">
        <f t="shared" si="7"/>
        <v>0</v>
      </c>
      <c r="BR14" s="83">
        <f t="shared" si="7"/>
        <v>0</v>
      </c>
      <c r="BS14" s="83">
        <f t="shared" si="7"/>
        <v>0</v>
      </c>
      <c r="BT14" s="83">
        <f t="shared" si="7"/>
        <v>0</v>
      </c>
      <c r="BU14" s="83">
        <f t="shared" si="7"/>
        <v>0</v>
      </c>
      <c r="BV14" s="83">
        <f t="shared" si="7"/>
        <v>0</v>
      </c>
      <c r="BW14" s="83">
        <f t="shared" si="7"/>
        <v>0</v>
      </c>
      <c r="BX14" s="83">
        <f t="shared" si="7"/>
        <v>0</v>
      </c>
      <c r="BY14" s="83">
        <f t="shared" si="7"/>
        <v>0</v>
      </c>
      <c r="BZ14" s="83">
        <f t="shared" si="7"/>
        <v>0</v>
      </c>
      <c r="CA14" s="83">
        <f t="shared" si="7"/>
        <v>0</v>
      </c>
      <c r="CB14" s="83">
        <f t="shared" si="7"/>
        <v>0</v>
      </c>
      <c r="CC14" s="83">
        <f t="shared" si="7"/>
        <v>0</v>
      </c>
      <c r="CD14" s="83">
        <f t="shared" si="7"/>
        <v>0</v>
      </c>
      <c r="CE14" s="83">
        <f t="shared" si="7"/>
        <v>0</v>
      </c>
      <c r="CF14" s="83">
        <f t="shared" si="7"/>
        <v>0</v>
      </c>
      <c r="CG14" s="83">
        <f t="shared" si="7"/>
        <v>0</v>
      </c>
      <c r="CH14" s="83">
        <f t="shared" si="7"/>
        <v>0</v>
      </c>
      <c r="CI14" s="83">
        <f t="shared" si="7"/>
        <v>0</v>
      </c>
      <c r="CJ14" s="83">
        <f t="shared" si="7"/>
        <v>0</v>
      </c>
      <c r="CK14" s="83">
        <f t="shared" si="7"/>
        <v>0</v>
      </c>
      <c r="CL14" s="83">
        <f t="shared" si="7"/>
        <v>0</v>
      </c>
      <c r="CM14" s="83">
        <f t="shared" si="7"/>
        <v>0</v>
      </c>
      <c r="CN14" s="83">
        <f t="shared" si="7"/>
        <v>0</v>
      </c>
      <c r="CO14" s="83">
        <f t="shared" si="7"/>
        <v>0</v>
      </c>
      <c r="CP14" s="83">
        <f t="shared" si="7"/>
        <v>0</v>
      </c>
      <c r="CQ14" s="83">
        <f t="shared" si="7"/>
        <v>0</v>
      </c>
      <c r="CR14" s="83">
        <f t="shared" si="7"/>
        <v>0</v>
      </c>
      <c r="CS14" s="83">
        <f t="shared" si="7"/>
        <v>0</v>
      </c>
      <c r="CT14" s="83">
        <f t="shared" si="7"/>
        <v>0</v>
      </c>
      <c r="CU14" s="83">
        <f t="shared" si="7"/>
        <v>0</v>
      </c>
      <c r="CV14" s="83">
        <f t="shared" si="7"/>
        <v>0</v>
      </c>
      <c r="CW14" s="83">
        <f t="shared" si="7"/>
        <v>0</v>
      </c>
      <c r="CX14" s="83">
        <f t="shared" si="7"/>
        <v>0</v>
      </c>
      <c r="CY14" s="83">
        <f t="shared" si="7"/>
        <v>0</v>
      </c>
      <c r="CZ14" s="83">
        <f t="shared" si="7"/>
        <v>0</v>
      </c>
      <c r="DA14" s="83">
        <f t="shared" si="7"/>
        <v>0</v>
      </c>
      <c r="DB14" s="83">
        <f t="shared" si="7"/>
        <v>0</v>
      </c>
      <c r="DC14" s="83">
        <f t="shared" si="7"/>
        <v>0</v>
      </c>
      <c r="DD14" s="83">
        <f t="shared" si="7"/>
        <v>0</v>
      </c>
      <c r="DE14" s="83">
        <f t="shared" si="7"/>
        <v>0</v>
      </c>
      <c r="DF14" s="83">
        <f t="shared" si="7"/>
        <v>0</v>
      </c>
      <c r="DG14" s="83">
        <f t="shared" si="7"/>
        <v>0</v>
      </c>
      <c r="DH14" s="83">
        <f t="shared" si="7"/>
        <v>0</v>
      </c>
      <c r="DI14" s="83">
        <f t="shared" si="7"/>
        <v>0</v>
      </c>
      <c r="DJ14" s="83">
        <f t="shared" si="7"/>
        <v>0</v>
      </c>
      <c r="DK14" s="83">
        <f t="shared" si="7"/>
        <v>0</v>
      </c>
      <c r="DL14" s="83">
        <f t="shared" si="7"/>
        <v>0</v>
      </c>
      <c r="DM14" s="83">
        <f t="shared" si="7"/>
        <v>0</v>
      </c>
      <c r="DN14" s="83">
        <f t="shared" si="7"/>
        <v>0</v>
      </c>
      <c r="DO14" s="83">
        <f t="shared" si="7"/>
        <v>0</v>
      </c>
      <c r="DP14" s="83">
        <f t="shared" si="7"/>
        <v>0</v>
      </c>
      <c r="DQ14" s="83">
        <f t="shared" si="7"/>
        <v>0</v>
      </c>
      <c r="DR14" s="83">
        <f t="shared" si="7"/>
        <v>0</v>
      </c>
      <c r="DS14" s="83">
        <f t="shared" si="7"/>
        <v>0</v>
      </c>
      <c r="DT14" s="83">
        <f t="shared" si="7"/>
        <v>0</v>
      </c>
      <c r="DU14" s="83">
        <f t="shared" si="7"/>
        <v>0</v>
      </c>
      <c r="DV14" s="83">
        <f t="shared" si="7"/>
        <v>0</v>
      </c>
      <c r="DW14" s="83">
        <f t="shared" si="7"/>
        <v>0</v>
      </c>
      <c r="DX14" s="83">
        <f t="shared" si="7"/>
        <v>0</v>
      </c>
      <c r="DY14" s="83">
        <f t="shared" si="7"/>
        <v>0</v>
      </c>
      <c r="DZ14" s="83">
        <f t="shared" si="7"/>
        <v>0</v>
      </c>
      <c r="EA14" s="83">
        <f aca="true" t="shared" si="8" ref="EA14:GL14">SUM(EA15:EA19)</f>
        <v>0</v>
      </c>
      <c r="EB14" s="83">
        <f t="shared" si="8"/>
        <v>0</v>
      </c>
      <c r="EC14" s="83">
        <f t="shared" si="8"/>
        <v>0</v>
      </c>
      <c r="ED14" s="83">
        <f t="shared" si="8"/>
        <v>0</v>
      </c>
      <c r="EE14" s="83">
        <f t="shared" si="8"/>
        <v>0</v>
      </c>
      <c r="EF14" s="83">
        <f t="shared" si="8"/>
        <v>0</v>
      </c>
      <c r="EG14" s="83">
        <f t="shared" si="8"/>
        <v>0</v>
      </c>
      <c r="EH14" s="83">
        <f t="shared" si="8"/>
        <v>0</v>
      </c>
      <c r="EI14" s="83">
        <f t="shared" si="8"/>
        <v>0</v>
      </c>
      <c r="EJ14" s="83">
        <f t="shared" si="8"/>
        <v>0</v>
      </c>
      <c r="EK14" s="83">
        <f t="shared" si="8"/>
        <v>0</v>
      </c>
      <c r="EL14" s="83">
        <f t="shared" si="8"/>
        <v>0</v>
      </c>
      <c r="EM14" s="83">
        <f t="shared" si="8"/>
        <v>0</v>
      </c>
      <c r="EN14" s="83">
        <f t="shared" si="8"/>
        <v>0</v>
      </c>
      <c r="EO14" s="83">
        <f t="shared" si="8"/>
        <v>0</v>
      </c>
      <c r="EP14" s="83">
        <f t="shared" si="8"/>
        <v>0</v>
      </c>
      <c r="EQ14" s="83">
        <f t="shared" si="8"/>
        <v>0</v>
      </c>
      <c r="ER14" s="83">
        <f t="shared" si="8"/>
        <v>0</v>
      </c>
      <c r="ES14" s="83">
        <f t="shared" si="8"/>
        <v>0</v>
      </c>
      <c r="ET14" s="83">
        <f t="shared" si="8"/>
        <v>0</v>
      </c>
      <c r="EU14" s="83">
        <f t="shared" si="8"/>
        <v>0</v>
      </c>
      <c r="EV14" s="83">
        <f t="shared" si="8"/>
        <v>0</v>
      </c>
      <c r="EW14" s="83">
        <f t="shared" si="8"/>
        <v>0</v>
      </c>
      <c r="EX14" s="83">
        <f t="shared" si="8"/>
        <v>0</v>
      </c>
      <c r="EY14" s="83">
        <f t="shared" si="8"/>
        <v>0</v>
      </c>
      <c r="EZ14" s="83">
        <f t="shared" si="8"/>
        <v>0</v>
      </c>
      <c r="FA14" s="83">
        <f t="shared" si="8"/>
        <v>0</v>
      </c>
      <c r="FB14" s="83">
        <f t="shared" si="8"/>
        <v>0</v>
      </c>
      <c r="FC14" s="83">
        <f t="shared" si="8"/>
        <v>0</v>
      </c>
      <c r="FD14" s="83">
        <f t="shared" si="8"/>
        <v>0</v>
      </c>
      <c r="FE14" s="83">
        <f t="shared" si="8"/>
        <v>0</v>
      </c>
      <c r="FF14" s="83">
        <f t="shared" si="8"/>
        <v>0</v>
      </c>
      <c r="FG14" s="83">
        <f t="shared" si="8"/>
        <v>0</v>
      </c>
      <c r="FH14" s="83">
        <f t="shared" si="8"/>
        <v>0</v>
      </c>
      <c r="FI14" s="83">
        <f t="shared" si="8"/>
        <v>0</v>
      </c>
      <c r="FJ14" s="83">
        <f t="shared" si="8"/>
        <v>0</v>
      </c>
      <c r="FK14" s="83">
        <f t="shared" si="8"/>
        <v>0</v>
      </c>
      <c r="FL14" s="83">
        <f t="shared" si="8"/>
        <v>0</v>
      </c>
      <c r="FM14" s="83">
        <f t="shared" si="8"/>
        <v>0</v>
      </c>
      <c r="FN14" s="83">
        <f t="shared" si="8"/>
        <v>0</v>
      </c>
      <c r="FO14" s="83">
        <f t="shared" si="8"/>
        <v>0</v>
      </c>
      <c r="FP14" s="83">
        <f t="shared" si="8"/>
        <v>0</v>
      </c>
      <c r="FQ14" s="83">
        <f t="shared" si="8"/>
        <v>0</v>
      </c>
      <c r="FR14" s="83">
        <f t="shared" si="8"/>
        <v>0</v>
      </c>
      <c r="FS14" s="83">
        <f t="shared" si="8"/>
        <v>0</v>
      </c>
      <c r="FT14" s="83">
        <f t="shared" si="8"/>
        <v>0</v>
      </c>
      <c r="FU14" s="83">
        <f t="shared" si="8"/>
        <v>0</v>
      </c>
      <c r="FV14" s="83">
        <f t="shared" si="8"/>
        <v>0</v>
      </c>
      <c r="FW14" s="83">
        <f t="shared" si="8"/>
        <v>0</v>
      </c>
      <c r="FX14" s="83">
        <f t="shared" si="8"/>
        <v>0</v>
      </c>
      <c r="FY14" s="83">
        <f t="shared" si="8"/>
        <v>0</v>
      </c>
      <c r="FZ14" s="83">
        <f t="shared" si="8"/>
        <v>0</v>
      </c>
      <c r="GA14" s="83">
        <f t="shared" si="8"/>
        <v>0</v>
      </c>
      <c r="GB14" s="83">
        <f t="shared" si="8"/>
        <v>0</v>
      </c>
      <c r="GC14" s="83">
        <f t="shared" si="8"/>
        <v>0</v>
      </c>
      <c r="GD14" s="83">
        <f t="shared" si="8"/>
        <v>0</v>
      </c>
      <c r="GE14" s="83">
        <f t="shared" si="8"/>
        <v>0</v>
      </c>
      <c r="GF14" s="83">
        <f t="shared" si="8"/>
        <v>0</v>
      </c>
      <c r="GG14" s="83">
        <f t="shared" si="8"/>
        <v>0</v>
      </c>
      <c r="GH14" s="83">
        <f t="shared" si="8"/>
        <v>0</v>
      </c>
      <c r="GI14" s="83">
        <f t="shared" si="8"/>
        <v>0</v>
      </c>
      <c r="GJ14" s="83">
        <f t="shared" si="8"/>
        <v>0</v>
      </c>
      <c r="GK14" s="83">
        <f t="shared" si="8"/>
        <v>0</v>
      </c>
      <c r="GL14" s="83">
        <f t="shared" si="8"/>
        <v>0</v>
      </c>
      <c r="GM14" s="83">
        <f aca="true" t="shared" si="9" ref="GM14:IV14">SUM(GM15:GM19)</f>
        <v>0</v>
      </c>
      <c r="GN14" s="83">
        <f t="shared" si="9"/>
        <v>0</v>
      </c>
      <c r="GO14" s="83">
        <f t="shared" si="9"/>
        <v>0</v>
      </c>
      <c r="GP14" s="83">
        <f t="shared" si="9"/>
        <v>0</v>
      </c>
      <c r="GQ14" s="83">
        <f t="shared" si="9"/>
        <v>0</v>
      </c>
      <c r="GR14" s="83">
        <f t="shared" si="9"/>
        <v>0</v>
      </c>
      <c r="GS14" s="83">
        <f t="shared" si="9"/>
        <v>0</v>
      </c>
      <c r="GT14" s="83">
        <f t="shared" si="9"/>
        <v>0</v>
      </c>
      <c r="GU14" s="83">
        <f t="shared" si="9"/>
        <v>0</v>
      </c>
      <c r="GV14" s="83">
        <f t="shared" si="9"/>
        <v>0</v>
      </c>
      <c r="GW14" s="83">
        <f t="shared" si="9"/>
        <v>0</v>
      </c>
      <c r="GX14" s="83">
        <f t="shared" si="9"/>
        <v>0</v>
      </c>
      <c r="GY14" s="83">
        <f t="shared" si="9"/>
        <v>0</v>
      </c>
      <c r="GZ14" s="83">
        <f t="shared" si="9"/>
        <v>0</v>
      </c>
      <c r="HA14" s="83">
        <f t="shared" si="9"/>
        <v>0</v>
      </c>
      <c r="HB14" s="83">
        <f t="shared" si="9"/>
        <v>0</v>
      </c>
      <c r="HC14" s="83">
        <f t="shared" si="9"/>
        <v>0</v>
      </c>
      <c r="HD14" s="83">
        <f t="shared" si="9"/>
        <v>0</v>
      </c>
      <c r="HE14" s="83">
        <f t="shared" si="9"/>
        <v>0</v>
      </c>
      <c r="HF14" s="83">
        <f t="shared" si="9"/>
        <v>0</v>
      </c>
      <c r="HG14" s="83">
        <f t="shared" si="9"/>
        <v>0</v>
      </c>
      <c r="HH14" s="83">
        <f t="shared" si="9"/>
        <v>0</v>
      </c>
      <c r="HI14" s="83">
        <f t="shared" si="9"/>
        <v>0</v>
      </c>
      <c r="HJ14" s="83">
        <f t="shared" si="9"/>
        <v>0</v>
      </c>
      <c r="HK14" s="83">
        <f t="shared" si="9"/>
        <v>0</v>
      </c>
      <c r="HL14" s="83">
        <f t="shared" si="9"/>
        <v>0</v>
      </c>
      <c r="HM14" s="83">
        <f t="shared" si="9"/>
        <v>0</v>
      </c>
      <c r="HN14" s="83">
        <f t="shared" si="9"/>
        <v>0</v>
      </c>
      <c r="HO14" s="83">
        <f t="shared" si="9"/>
        <v>0</v>
      </c>
      <c r="HP14" s="83">
        <f t="shared" si="9"/>
        <v>0</v>
      </c>
      <c r="HQ14" s="83">
        <f t="shared" si="9"/>
        <v>0</v>
      </c>
      <c r="HR14" s="83">
        <f t="shared" si="9"/>
        <v>0</v>
      </c>
      <c r="HS14" s="83">
        <f t="shared" si="9"/>
        <v>0</v>
      </c>
      <c r="HT14" s="83">
        <f t="shared" si="9"/>
        <v>0</v>
      </c>
      <c r="HU14" s="83">
        <f t="shared" si="9"/>
        <v>0</v>
      </c>
      <c r="HV14" s="83">
        <f t="shared" si="9"/>
        <v>0</v>
      </c>
      <c r="HW14" s="83">
        <f t="shared" si="9"/>
        <v>0</v>
      </c>
      <c r="HX14" s="83">
        <f t="shared" si="9"/>
        <v>0</v>
      </c>
      <c r="HY14" s="83">
        <f t="shared" si="9"/>
        <v>0</v>
      </c>
      <c r="HZ14" s="83">
        <f t="shared" si="9"/>
        <v>0</v>
      </c>
      <c r="IA14" s="83">
        <f t="shared" si="9"/>
        <v>0</v>
      </c>
      <c r="IB14" s="83">
        <f t="shared" si="9"/>
        <v>0</v>
      </c>
      <c r="IC14" s="83">
        <f t="shared" si="9"/>
        <v>0</v>
      </c>
      <c r="ID14" s="83">
        <f t="shared" si="9"/>
        <v>0</v>
      </c>
      <c r="IE14" s="83">
        <f t="shared" si="9"/>
        <v>0</v>
      </c>
      <c r="IF14" s="83">
        <f t="shared" si="9"/>
        <v>0</v>
      </c>
      <c r="IG14" s="83">
        <f t="shared" si="9"/>
        <v>0</v>
      </c>
      <c r="IH14" s="83">
        <f t="shared" si="9"/>
        <v>0</v>
      </c>
      <c r="II14" s="83">
        <f t="shared" si="9"/>
        <v>0</v>
      </c>
      <c r="IJ14" s="83">
        <f t="shared" si="9"/>
        <v>0</v>
      </c>
      <c r="IK14" s="83">
        <f t="shared" si="9"/>
        <v>0</v>
      </c>
      <c r="IL14" s="83">
        <f t="shared" si="9"/>
        <v>0</v>
      </c>
      <c r="IM14" s="83">
        <f t="shared" si="9"/>
        <v>0</v>
      </c>
      <c r="IN14" s="83">
        <f t="shared" si="9"/>
        <v>0</v>
      </c>
      <c r="IO14" s="83">
        <f t="shared" si="9"/>
        <v>0</v>
      </c>
      <c r="IP14" s="83">
        <f t="shared" si="9"/>
        <v>0</v>
      </c>
      <c r="IQ14" s="83">
        <f t="shared" si="9"/>
        <v>0</v>
      </c>
      <c r="IR14" s="83">
        <f t="shared" si="9"/>
        <v>0</v>
      </c>
      <c r="IS14" s="83">
        <f t="shared" si="9"/>
        <v>0</v>
      </c>
      <c r="IT14" s="83">
        <f t="shared" si="9"/>
        <v>0</v>
      </c>
      <c r="IU14" s="120">
        <f t="shared" si="9"/>
        <v>0</v>
      </c>
      <c r="IV14" s="120">
        <f t="shared" si="9"/>
        <v>0</v>
      </c>
    </row>
    <row r="15" spans="1:8" ht="14.25">
      <c r="A15" s="115" t="s">
        <v>457</v>
      </c>
      <c r="B15" s="83">
        <v>466450188.31</v>
      </c>
      <c r="C15" s="83">
        <v>0</v>
      </c>
      <c r="D15" s="83">
        <v>16162750.24</v>
      </c>
      <c r="E15" s="83">
        <v>0</v>
      </c>
      <c r="F15" s="83">
        <f>+B15+C15-D15+E15</f>
        <v>450287438.07</v>
      </c>
      <c r="G15" s="83">
        <v>37832733.26</v>
      </c>
      <c r="H15" s="83">
        <v>0</v>
      </c>
    </row>
    <row r="16" spans="1:8" ht="14.25">
      <c r="A16" s="115" t="s">
        <v>457</v>
      </c>
      <c r="B16" s="83">
        <v>153250396.23</v>
      </c>
      <c r="C16" s="83">
        <v>0</v>
      </c>
      <c r="D16" s="83">
        <v>4962299.47</v>
      </c>
      <c r="E16" s="83">
        <v>0</v>
      </c>
      <c r="F16" s="83">
        <f>+B16+C16-D16+E16</f>
        <v>148288096.76</v>
      </c>
      <c r="G16" s="83">
        <v>12474741.22</v>
      </c>
      <c r="H16" s="83">
        <v>0</v>
      </c>
    </row>
    <row r="17" spans="1:8" ht="14.25">
      <c r="A17" s="115" t="s">
        <v>457</v>
      </c>
      <c r="B17" s="83">
        <v>95889270.08</v>
      </c>
      <c r="C17" s="83">
        <v>0</v>
      </c>
      <c r="D17" s="83">
        <v>3104926.86</v>
      </c>
      <c r="E17" s="83">
        <v>0</v>
      </c>
      <c r="F17" s="83">
        <f>+B17+C17-D17+E17</f>
        <v>92784343.22</v>
      </c>
      <c r="G17" s="83">
        <v>7805477.16</v>
      </c>
      <c r="H17" s="83">
        <v>0</v>
      </c>
    </row>
    <row r="18" spans="1:8" ht="14.25">
      <c r="A18" s="115" t="s">
        <v>458</v>
      </c>
      <c r="B18" s="83">
        <v>766535665.74</v>
      </c>
      <c r="C18" s="83">
        <v>0</v>
      </c>
      <c r="D18" s="83">
        <v>12970360.230000002</v>
      </c>
      <c r="E18" s="83">
        <v>0</v>
      </c>
      <c r="F18" s="83">
        <f>+B18+C18-D18+E18</f>
        <v>753565305.51</v>
      </c>
      <c r="G18" s="83">
        <v>63428321.28999999</v>
      </c>
      <c r="H18" s="83">
        <v>0</v>
      </c>
    </row>
    <row r="19" spans="1:8" ht="14.25">
      <c r="A19" s="115" t="s">
        <v>459</v>
      </c>
      <c r="B19" s="83">
        <v>774596247.56</v>
      </c>
      <c r="C19" s="83">
        <v>0</v>
      </c>
      <c r="D19" s="83">
        <v>12383852.58</v>
      </c>
      <c r="E19" s="83">
        <v>0</v>
      </c>
      <c r="F19" s="83">
        <f>+B19+C19-D19+E19</f>
        <v>762212394.9799999</v>
      </c>
      <c r="G19" s="83">
        <v>64059580.64</v>
      </c>
      <c r="H19" s="83">
        <v>0</v>
      </c>
    </row>
    <row r="20" spans="1:8" ht="14.25">
      <c r="A20" s="65" t="s">
        <v>138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</row>
    <row r="21" spans="1:8" ht="14.25">
      <c r="A21" s="65" t="s">
        <v>139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</row>
    <row r="22" spans="1:8" ht="14.25">
      <c r="A22" s="33"/>
      <c r="B22" s="91"/>
      <c r="C22" s="91"/>
      <c r="D22" s="91"/>
      <c r="E22" s="91"/>
      <c r="F22" s="91"/>
      <c r="G22" s="91"/>
      <c r="H22" s="91"/>
    </row>
    <row r="23" spans="1:8" s="136" customFormat="1" ht="14.25">
      <c r="A23" s="134" t="s">
        <v>140</v>
      </c>
      <c r="B23" s="92">
        <v>214960373.37</v>
      </c>
      <c r="C23" s="135"/>
      <c r="D23" s="135"/>
      <c r="E23" s="137"/>
      <c r="F23" s="139">
        <v>231645499.8</v>
      </c>
      <c r="G23" s="138"/>
      <c r="H23" s="135"/>
    </row>
    <row r="24" spans="1:8" ht="14.25">
      <c r="A24" s="33"/>
      <c r="B24" s="91"/>
      <c r="C24" s="91"/>
      <c r="D24" s="91"/>
      <c r="E24" s="91"/>
      <c r="F24" s="91"/>
      <c r="G24" s="91"/>
      <c r="H24" s="91"/>
    </row>
    <row r="25" spans="1:8" ht="14.25">
      <c r="A25" s="63" t="s">
        <v>141</v>
      </c>
      <c r="B25" s="85">
        <f>B8+B23</f>
        <v>2471682141.29</v>
      </c>
      <c r="C25" s="85">
        <f aca="true" t="shared" si="10" ref="C25:H25">C8+C23</f>
        <v>0</v>
      </c>
      <c r="D25" s="85">
        <f>D8+D23</f>
        <v>49584189.38</v>
      </c>
      <c r="E25" s="85">
        <f t="shared" si="10"/>
        <v>0</v>
      </c>
      <c r="F25" s="85">
        <f t="shared" si="10"/>
        <v>2438783078.34</v>
      </c>
      <c r="G25" s="85">
        <f t="shared" si="10"/>
        <v>185600853.57</v>
      </c>
      <c r="H25" s="85">
        <f t="shared" si="10"/>
        <v>0</v>
      </c>
    </row>
    <row r="26" spans="1:8" ht="14.25">
      <c r="A26" s="33"/>
      <c r="B26" s="84"/>
      <c r="C26" s="84"/>
      <c r="D26" s="84"/>
      <c r="E26" s="84"/>
      <c r="F26" s="84"/>
      <c r="G26" s="84"/>
      <c r="H26" s="84"/>
    </row>
    <row r="27" spans="1:8" ht="15.75">
      <c r="A27" s="63" t="s">
        <v>142</v>
      </c>
      <c r="B27" s="85">
        <f>SUM(B28:DEUDA_CONT_FIN_01)</f>
        <v>0</v>
      </c>
      <c r="C27" s="85">
        <f>SUM(C28:DEUDA_CONT_FIN_02)</f>
        <v>0</v>
      </c>
      <c r="D27" s="85">
        <f>SUM(D28:DEUDA_CONT_FIN_03)</f>
        <v>0</v>
      </c>
      <c r="E27" s="85">
        <f>SUM(E28:DEUDA_CONT_FIN_04)</f>
        <v>0</v>
      </c>
      <c r="F27" s="85">
        <f>SUM(F28:DEUDA_CONT_FIN_05)</f>
        <v>0</v>
      </c>
      <c r="G27" s="85">
        <f>SUM(G28:DEUDA_CONT_FIN_06)</f>
        <v>0</v>
      </c>
      <c r="H27" s="85">
        <f>SUM(H28:DEUDA_CONT_FIN_07)</f>
        <v>0</v>
      </c>
    </row>
    <row r="28" spans="1:8" ht="14.25">
      <c r="A28" s="66" t="s">
        <v>143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</row>
    <row r="29" spans="1:8" ht="14.25">
      <c r="A29" s="66" t="s">
        <v>144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</row>
    <row r="30" spans="1:8" ht="14.25">
      <c r="A30" s="66" t="s">
        <v>145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</row>
    <row r="31" spans="1:8" ht="14.25">
      <c r="A31" s="39" t="s">
        <v>146</v>
      </c>
      <c r="B31" s="84"/>
      <c r="C31" s="84"/>
      <c r="D31" s="84"/>
      <c r="E31" s="84"/>
      <c r="F31" s="84"/>
      <c r="G31" s="84"/>
      <c r="H31" s="84"/>
    </row>
    <row r="32" spans="1:8" ht="15.75">
      <c r="A32" s="63" t="s">
        <v>147</v>
      </c>
      <c r="B32" s="85">
        <f>SUM(B33:VALOR_INS_BCC_FIN_01)</f>
        <v>476222500</v>
      </c>
      <c r="C32" s="85">
        <f>SUM(C33:VALOR_INS_BCC_FIN_02)</f>
        <v>0</v>
      </c>
      <c r="D32" s="85">
        <f>SUM(D33:VALOR_INS_BCC_FIN_03)</f>
        <v>0</v>
      </c>
      <c r="E32" s="85">
        <f>SUM(E33:VALOR_INS_BCC_FIN_04)</f>
        <v>0</v>
      </c>
      <c r="F32" s="85">
        <f>SUM(F33:VALOR_INS_BCC_FIN_05)</f>
        <v>476222500</v>
      </c>
      <c r="G32" s="85">
        <f>SUM(G33:VALOR_INS_BCC_FIN_06)</f>
        <v>39486490.16</v>
      </c>
      <c r="H32" s="85">
        <f>SUM(H33:zfds)</f>
        <v>0</v>
      </c>
    </row>
    <row r="33" spans="1:8" ht="15.75">
      <c r="A33" s="66" t="s">
        <v>451</v>
      </c>
      <c r="B33" s="83">
        <v>83449015</v>
      </c>
      <c r="C33" s="83">
        <v>0</v>
      </c>
      <c r="D33" s="83">
        <v>0</v>
      </c>
      <c r="E33" s="83">
        <v>0</v>
      </c>
      <c r="F33" s="83">
        <v>83449015</v>
      </c>
      <c r="G33" s="83">
        <v>7174737.66</v>
      </c>
      <c r="H33" s="83">
        <v>0</v>
      </c>
    </row>
    <row r="34" spans="1:8" ht="15.75">
      <c r="A34" s="66" t="s">
        <v>452</v>
      </c>
      <c r="B34" s="83">
        <v>208708907</v>
      </c>
      <c r="C34" s="83">
        <v>0</v>
      </c>
      <c r="D34" s="83">
        <v>0</v>
      </c>
      <c r="E34" s="83">
        <v>0</v>
      </c>
      <c r="F34" s="83">
        <v>208708907</v>
      </c>
      <c r="G34" s="83">
        <v>16897097.91</v>
      </c>
      <c r="H34" s="83">
        <v>0</v>
      </c>
    </row>
    <row r="35" spans="1:8" ht="15.75">
      <c r="A35" s="66" t="s">
        <v>453</v>
      </c>
      <c r="B35" s="83">
        <v>72675017</v>
      </c>
      <c r="C35" s="83">
        <v>0</v>
      </c>
      <c r="D35" s="83">
        <v>0</v>
      </c>
      <c r="E35" s="83">
        <v>0</v>
      </c>
      <c r="F35" s="83">
        <v>72675017</v>
      </c>
      <c r="G35" s="83">
        <v>6235911.32</v>
      </c>
      <c r="H35" s="83">
        <v>0</v>
      </c>
    </row>
    <row r="36" spans="1:8" ht="15.75">
      <c r="A36" s="66" t="s">
        <v>454</v>
      </c>
      <c r="B36" s="83">
        <v>6854706</v>
      </c>
      <c r="C36" s="83">
        <v>0</v>
      </c>
      <c r="D36" s="83">
        <v>0</v>
      </c>
      <c r="E36" s="83">
        <v>0</v>
      </c>
      <c r="F36" s="83">
        <v>6854706</v>
      </c>
      <c r="G36" s="83">
        <v>581659.72</v>
      </c>
      <c r="H36" s="83">
        <v>0</v>
      </c>
    </row>
    <row r="37" spans="1:8" ht="15.75">
      <c r="A37" s="66" t="s">
        <v>455</v>
      </c>
      <c r="B37" s="83">
        <v>104534855</v>
      </c>
      <c r="C37" s="83">
        <v>0</v>
      </c>
      <c r="D37" s="83">
        <v>0</v>
      </c>
      <c r="E37" s="83"/>
      <c r="F37" s="83">
        <v>104534855</v>
      </c>
      <c r="G37" s="83">
        <v>8597083.55</v>
      </c>
      <c r="H37" s="83">
        <v>0</v>
      </c>
    </row>
    <row r="38" spans="1:8" ht="14.25">
      <c r="A38" s="67" t="s">
        <v>146</v>
      </c>
      <c r="B38" s="93"/>
      <c r="C38" s="41"/>
      <c r="D38" s="41"/>
      <c r="E38" s="41"/>
      <c r="F38" s="41"/>
      <c r="G38" s="41"/>
      <c r="H38" s="41"/>
    </row>
    <row r="39" spans="1:8" ht="14.25">
      <c r="A39" s="68"/>
      <c r="B39" s="94"/>
      <c r="C39" s="37"/>
      <c r="D39" s="37"/>
      <c r="E39" s="37"/>
      <c r="F39" s="37"/>
      <c r="G39" s="37"/>
      <c r="H39" s="37"/>
    </row>
    <row r="40" spans="1:8" ht="14.25">
      <c r="A40" s="154" t="s">
        <v>456</v>
      </c>
      <c r="B40" s="155"/>
      <c r="C40" s="155"/>
      <c r="D40" s="155"/>
      <c r="E40" s="155"/>
      <c r="F40" s="155"/>
      <c r="G40" s="155"/>
      <c r="H40" s="155"/>
    </row>
    <row r="41" spans="1:8" ht="14.25">
      <c r="A41" s="155"/>
      <c r="B41" s="155"/>
      <c r="C41" s="155"/>
      <c r="D41" s="155"/>
      <c r="E41" s="155"/>
      <c r="F41" s="155"/>
      <c r="G41" s="155"/>
      <c r="H41" s="155"/>
    </row>
    <row r="42" spans="1:8" ht="14.25">
      <c r="A42" s="155"/>
      <c r="B42" s="155"/>
      <c r="C42" s="155"/>
      <c r="D42" s="155"/>
      <c r="E42" s="155"/>
      <c r="F42" s="155"/>
      <c r="G42" s="155"/>
      <c r="H42" s="155"/>
    </row>
    <row r="43" spans="1:8" ht="14.25">
      <c r="A43" s="155"/>
      <c r="B43" s="155"/>
      <c r="C43" s="155"/>
      <c r="D43" s="155"/>
      <c r="E43" s="155"/>
      <c r="F43" s="155"/>
      <c r="G43" s="155"/>
      <c r="H43" s="155"/>
    </row>
    <row r="44" spans="1:8" ht="14.25">
      <c r="A44" s="155"/>
      <c r="B44" s="155"/>
      <c r="C44" s="155"/>
      <c r="D44" s="155"/>
      <c r="E44" s="155"/>
      <c r="F44" s="155"/>
      <c r="G44" s="155"/>
      <c r="H44" s="155"/>
    </row>
    <row r="45" spans="1:8" ht="14.25">
      <c r="A45" s="68"/>
      <c r="B45" s="94"/>
      <c r="C45" s="37"/>
      <c r="D45" s="37"/>
      <c r="E45" s="37"/>
      <c r="F45" s="37"/>
      <c r="G45" s="37"/>
      <c r="H45" s="37"/>
    </row>
    <row r="46" spans="1:8" ht="28.5">
      <c r="A46" s="5" t="s">
        <v>148</v>
      </c>
      <c r="B46" s="95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7"/>
      <c r="H46" s="37"/>
    </row>
    <row r="47" spans="1:8" ht="14.25">
      <c r="A47" s="33"/>
      <c r="B47" s="90"/>
      <c r="C47" s="57"/>
      <c r="D47" s="57"/>
      <c r="E47" s="57"/>
      <c r="F47" s="57"/>
      <c r="G47" s="37"/>
      <c r="H47" s="37"/>
    </row>
    <row r="48" spans="1:8" ht="14.25">
      <c r="A48" s="63" t="s">
        <v>154</v>
      </c>
      <c r="B48" s="85">
        <f>SUM(B49:OB_CORTO_PLAZO_FIN_01)</f>
        <v>0</v>
      </c>
      <c r="C48" s="85">
        <f>SUM(C49:fgsgfdfdfzxvzcvczv)</f>
        <v>0</v>
      </c>
      <c r="D48" s="85">
        <f>SUM(D49:OB_CORTO_PLAZO_FIN_03)</f>
        <v>0</v>
      </c>
      <c r="E48" s="85">
        <f>SUM(E49:gfhdhdgh)</f>
        <v>0</v>
      </c>
      <c r="F48" s="85">
        <f>SUM(F49:OB_CORTO_PLAZO_FIN_05)</f>
        <v>0</v>
      </c>
      <c r="G48" s="37"/>
      <c r="H48" s="37"/>
    </row>
    <row r="49" spans="1:8" ht="14.25">
      <c r="A49" s="66" t="s">
        <v>155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9"/>
      <c r="H49" s="69"/>
    </row>
    <row r="50" spans="1:8" ht="14.25">
      <c r="A50" s="66" t="s">
        <v>156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69"/>
      <c r="H50" s="69"/>
    </row>
    <row r="51" spans="1:8" ht="14.25">
      <c r="A51" s="66" t="s">
        <v>157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69"/>
      <c r="H51" s="69"/>
    </row>
    <row r="52" spans="1:8" ht="14.25">
      <c r="A52" s="70" t="s">
        <v>146</v>
      </c>
      <c r="B52" s="93"/>
      <c r="C52" s="41"/>
      <c r="D52" s="41"/>
      <c r="E52" s="41"/>
      <c r="F52" s="41"/>
      <c r="G52" s="37"/>
      <c r="H52" s="37"/>
    </row>
    <row r="53" spans="1:8" ht="14.25">
      <c r="A53" s="37"/>
      <c r="B53" s="94"/>
      <c r="C53" s="37"/>
      <c r="D53" s="37"/>
      <c r="E53" s="37"/>
      <c r="F53" s="37"/>
      <c r="G53" s="37"/>
      <c r="H53" s="37"/>
    </row>
    <row r="54" ht="14.2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7" r:id="rId1"/>
  <ignoredErrors>
    <ignoredError sqref="B8:H8 B9:H9 H27 H13 H25 H32 E25:G25 C13:G13 F15:F19 C32:E32 B27:G27 C25 B26:G26 B25 D25 B28:G31 B33:G33 B32 F32:G32 B20:G22 B15:E19 G15:G19 B13 IV13:IV14 B48:F48 B24:G24 B23:E23 G23" unlockedFormula="1"/>
    <ignoredError sqref="H14 B14:G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0" zoomScaleNormal="70" zoomScalePageLayoutView="0" workbookViewId="0" topLeftCell="A1">
      <selection activeCell="I20" sqref="I20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7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"/>
    </row>
    <row r="2" spans="1:11" ht="14.25">
      <c r="A2" s="142" t="s">
        <v>290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4.25">
      <c r="A3" s="145" t="s">
        <v>159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4.25">
      <c r="A4" s="148" t="s">
        <v>478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14.25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72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481</v>
      </c>
      <c r="J6" s="2" t="s">
        <v>482</v>
      </c>
      <c r="K6" s="2" t="s">
        <v>483</v>
      </c>
    </row>
    <row r="7" spans="1:11" ht="14.25">
      <c r="A7" s="24"/>
      <c r="B7" s="7"/>
      <c r="C7" s="7"/>
      <c r="D7" s="7"/>
      <c r="E7" s="57"/>
      <c r="F7" s="7"/>
      <c r="G7" s="57"/>
      <c r="H7" s="57"/>
      <c r="I7" s="57"/>
      <c r="J7" s="57"/>
      <c r="K7" s="57"/>
    </row>
    <row r="8" spans="1:11" ht="14.25">
      <c r="A8" s="60" t="s">
        <v>168</v>
      </c>
      <c r="B8" s="12"/>
      <c r="C8" s="12"/>
      <c r="D8" s="12"/>
      <c r="E8" s="85">
        <f>SUM(E9:APP_FIN_04)</f>
        <v>0</v>
      </c>
      <c r="F8" s="96"/>
      <c r="G8" s="85">
        <f>SUM(G9:APP_FIN_06)</f>
        <v>0</v>
      </c>
      <c r="H8" s="85">
        <f>SUM(H9:APP_FIN_07)</f>
        <v>0</v>
      </c>
      <c r="I8" s="85">
        <f>SUM(I9:APP_FIN_08)</f>
        <v>0</v>
      </c>
      <c r="J8" s="85">
        <f>SUM(J9:APP_FIN_09)</f>
        <v>0</v>
      </c>
      <c r="K8" s="85">
        <f>SUM(K9:APP_FIN_10)</f>
        <v>0</v>
      </c>
    </row>
    <row r="9" spans="1:11" s="9" customFormat="1" ht="14.25">
      <c r="A9" s="61" t="s">
        <v>169</v>
      </c>
      <c r="B9" s="58"/>
      <c r="C9" s="58"/>
      <c r="D9" s="58"/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f>E9-J9</f>
        <v>0</v>
      </c>
    </row>
    <row r="10" spans="1:11" s="9" customFormat="1" ht="14.25">
      <c r="A10" s="61" t="s">
        <v>170</v>
      </c>
      <c r="B10" s="58"/>
      <c r="C10" s="58"/>
      <c r="D10" s="58"/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f>E10-J10</f>
        <v>0</v>
      </c>
    </row>
    <row r="11" spans="1:11" s="9" customFormat="1" ht="14.25">
      <c r="A11" s="61" t="s">
        <v>171</v>
      </c>
      <c r="B11" s="58"/>
      <c r="C11" s="58"/>
      <c r="D11" s="58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f>E11-J11</f>
        <v>0</v>
      </c>
    </row>
    <row r="12" spans="1:11" s="9" customFormat="1" ht="14.25">
      <c r="A12" s="61" t="s">
        <v>172</v>
      </c>
      <c r="B12" s="58"/>
      <c r="C12" s="58"/>
      <c r="D12" s="58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f>E12-J12</f>
        <v>0</v>
      </c>
    </row>
    <row r="13" spans="1:11" ht="14.25">
      <c r="A13" s="62" t="s">
        <v>146</v>
      </c>
      <c r="B13" s="59"/>
      <c r="C13" s="59"/>
      <c r="D13" s="59"/>
      <c r="E13" s="84"/>
      <c r="F13" s="84"/>
      <c r="G13" s="84"/>
      <c r="H13" s="84"/>
      <c r="I13" s="84"/>
      <c r="J13" s="84"/>
      <c r="K13" s="84"/>
    </row>
    <row r="14" spans="1:11" ht="14.25">
      <c r="A14" s="60" t="s">
        <v>173</v>
      </c>
      <c r="B14" s="12"/>
      <c r="C14" s="12"/>
      <c r="D14" s="12"/>
      <c r="E14" s="85">
        <f>SUM(E15:OTROS_FIN_04)</f>
        <v>0</v>
      </c>
      <c r="F14" s="96"/>
      <c r="G14" s="85">
        <f>SUM(G15:OTROS_FIN_06)</f>
        <v>0</v>
      </c>
      <c r="H14" s="85">
        <f>SUM(H15:OTROS_FIN_07)</f>
        <v>0</v>
      </c>
      <c r="I14" s="85">
        <f>SUM(I15:OTROS_FIN_08)</f>
        <v>0</v>
      </c>
      <c r="J14" s="85">
        <f>SUM(J15:OTROS_FIN_09)</f>
        <v>0</v>
      </c>
      <c r="K14" s="85">
        <f>SUM(K15:OTROS_FIN_10)</f>
        <v>0</v>
      </c>
    </row>
    <row r="15" spans="1:11" s="9" customFormat="1" ht="14.25">
      <c r="A15" s="61" t="s">
        <v>174</v>
      </c>
      <c r="B15" s="58"/>
      <c r="C15" s="58"/>
      <c r="D15" s="58"/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f>E15-J15</f>
        <v>0</v>
      </c>
    </row>
    <row r="16" spans="1:11" s="9" customFormat="1" ht="14.25">
      <c r="A16" s="61" t="s">
        <v>175</v>
      </c>
      <c r="B16" s="58"/>
      <c r="C16" s="58"/>
      <c r="D16" s="58"/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f>E16-J16</f>
        <v>0</v>
      </c>
    </row>
    <row r="17" spans="1:11" s="9" customFormat="1" ht="14.25">
      <c r="A17" s="61" t="s">
        <v>176</v>
      </c>
      <c r="B17" s="58"/>
      <c r="C17" s="58"/>
      <c r="D17" s="58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f>E17-J17</f>
        <v>0</v>
      </c>
    </row>
    <row r="18" spans="1:11" s="9" customFormat="1" ht="14.25">
      <c r="A18" s="61" t="s">
        <v>177</v>
      </c>
      <c r="B18" s="58"/>
      <c r="C18" s="58"/>
      <c r="D18" s="58"/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f>E18-J18</f>
        <v>0</v>
      </c>
    </row>
    <row r="19" spans="1:11" ht="14.25">
      <c r="A19" s="62" t="s">
        <v>146</v>
      </c>
      <c r="B19" s="59"/>
      <c r="C19" s="59"/>
      <c r="D19" s="59"/>
      <c r="E19" s="84"/>
      <c r="F19" s="84"/>
      <c r="G19" s="84"/>
      <c r="H19" s="84"/>
      <c r="I19" s="84"/>
      <c r="J19" s="84"/>
      <c r="K19" s="84"/>
    </row>
    <row r="20" spans="1:11" ht="14.25">
      <c r="A20" s="60" t="s">
        <v>178</v>
      </c>
      <c r="B20" s="12"/>
      <c r="C20" s="12"/>
      <c r="D20" s="12"/>
      <c r="E20" s="85">
        <f>fdggdfgdgfd+sdfsdfsfds</f>
        <v>0</v>
      </c>
      <c r="F20" s="96"/>
      <c r="G20" s="85">
        <f>sdfsfsdf+OTROS_T6</f>
        <v>0</v>
      </c>
      <c r="H20" s="85">
        <f>APP_T7+dsfdsdsdsdsdsdsdsdsdsdsdsdsdsdsdsdsdsdsdsdsdsdsdsdsdsdsdsdsdsdsdsdsdsds</f>
        <v>0</v>
      </c>
      <c r="I20" s="85">
        <f>APP_T8+dsfsfdsffffffff</f>
        <v>0</v>
      </c>
      <c r="J20" s="85">
        <f>fdsfdsfdsfdsfdsfdsfdsfdsfdsfdsfdsfds+OTROS_T9</f>
        <v>0</v>
      </c>
      <c r="K20" s="85">
        <f>APP_T10+OTROS_T10</f>
        <v>0</v>
      </c>
    </row>
    <row r="21" spans="1:11" ht="14.25">
      <c r="A21" s="34"/>
      <c r="B21" s="8"/>
      <c r="C21" s="8"/>
      <c r="D21" s="8"/>
      <c r="E21" s="41"/>
      <c r="F21" s="8"/>
      <c r="G21" s="41"/>
      <c r="H21" s="41"/>
      <c r="I21" s="41"/>
      <c r="J21" s="41"/>
      <c r="K21" s="41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1">
      <selection activeCell="B76" sqref="B76"/>
    </sheetView>
  </sheetViews>
  <sheetFormatPr defaultColWidth="0.8554687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57" t="s">
        <v>179</v>
      </c>
      <c r="B1" s="157"/>
      <c r="C1" s="157"/>
      <c r="D1" s="157"/>
    </row>
    <row r="2" spans="1:4" ht="14.25">
      <c r="A2" s="142" t="s">
        <v>290</v>
      </c>
      <c r="B2" s="143"/>
      <c r="C2" s="143"/>
      <c r="D2" s="144"/>
    </row>
    <row r="3" spans="1:4" ht="14.25">
      <c r="A3" s="145" t="s">
        <v>180</v>
      </c>
      <c r="B3" s="146"/>
      <c r="C3" s="146"/>
      <c r="D3" s="147"/>
    </row>
    <row r="4" spans="1:4" ht="14.25">
      <c r="A4" s="148" t="s">
        <v>478</v>
      </c>
      <c r="B4" s="149"/>
      <c r="C4" s="149"/>
      <c r="D4" s="150"/>
    </row>
    <row r="5" spans="1:4" ht="14.25">
      <c r="A5" s="151" t="s">
        <v>2</v>
      </c>
      <c r="B5" s="152"/>
      <c r="C5" s="152"/>
      <c r="D5" s="153"/>
    </row>
    <row r="6" spans="1:4" ht="14.25">
      <c r="A6" s="37"/>
      <c r="B6" s="37"/>
      <c r="C6" s="37"/>
      <c r="D6" s="37"/>
    </row>
    <row r="7" spans="1:4" ht="28.5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4.25">
      <c r="A8" s="22" t="s">
        <v>184</v>
      </c>
      <c r="B8" s="47">
        <f>SUM(B9:B11)</f>
        <v>22300358597</v>
      </c>
      <c r="C8" s="47">
        <f>SUM(C9:C11)</f>
        <v>24700667608.57</v>
      </c>
      <c r="D8" s="47">
        <f>SUM(D9:D11)</f>
        <v>24700563691.57</v>
      </c>
    </row>
    <row r="9" spans="1:4" ht="14.25">
      <c r="A9" s="19" t="s">
        <v>185</v>
      </c>
      <c r="B9" s="49">
        <f>+'Formato 5'!B41</f>
        <v>11307589765</v>
      </c>
      <c r="C9" s="49">
        <f>+'Formato 5'!E41</f>
        <v>11841065644.65</v>
      </c>
      <c r="D9" s="56">
        <f>+'Formato 5'!F41</f>
        <v>11840961727.65</v>
      </c>
    </row>
    <row r="10" spans="1:4" ht="14.25">
      <c r="A10" s="19" t="s">
        <v>186</v>
      </c>
      <c r="B10" s="49">
        <f>+'Formato 5'!B65</f>
        <v>11042353021</v>
      </c>
      <c r="C10" s="49">
        <f>+'Formato 5'!E65</f>
        <v>12909186153.300001</v>
      </c>
      <c r="D10" s="56">
        <f>+'Formato 5'!F65</f>
        <v>12909186153.300001</v>
      </c>
    </row>
    <row r="11" spans="1:4" ht="14.25">
      <c r="A11" s="19" t="s">
        <v>187</v>
      </c>
      <c r="B11" s="49">
        <f>B44</f>
        <v>-49584189</v>
      </c>
      <c r="C11" s="49">
        <f>C44</f>
        <v>-49584189.38</v>
      </c>
      <c r="D11" s="49">
        <f>D44</f>
        <v>-49584189.38</v>
      </c>
    </row>
    <row r="12" spans="1:4" ht="14.25">
      <c r="A12" s="21"/>
      <c r="B12" s="40"/>
      <c r="C12" s="40"/>
      <c r="D12" s="40"/>
    </row>
    <row r="13" spans="1:4" ht="14.25">
      <c r="A13" s="22" t="s">
        <v>188</v>
      </c>
      <c r="B13" s="47">
        <f>B14+B15</f>
        <v>22300358597</v>
      </c>
      <c r="C13" s="47">
        <f>C14+C15</f>
        <v>23384820166.810005</v>
      </c>
      <c r="D13" s="47">
        <f>D14+D15</f>
        <v>23308071252.14</v>
      </c>
    </row>
    <row r="14" spans="1:4" ht="14.25">
      <c r="A14" s="19" t="s">
        <v>189</v>
      </c>
      <c r="B14" s="49">
        <f>+'Formato 6 a)'!B9-'Formato 6 a)'!B75</f>
        <v>11258005576</v>
      </c>
      <c r="C14" s="49">
        <f>+'Formato 6 a)'!E9-'Formato 6 a)'!E75</f>
        <v>10579468688.540003</v>
      </c>
      <c r="D14" s="49">
        <f>+'Formato 6 a)'!F9-'Formato 6 a)'!F75</f>
        <v>10511914920.380001</v>
      </c>
    </row>
    <row r="15" spans="1:4" ht="14.25">
      <c r="A15" s="19" t="s">
        <v>190</v>
      </c>
      <c r="B15" s="49">
        <f>+'Formato 6 a)'!B83-'Formato 6 a)'!B150</f>
        <v>11042353021</v>
      </c>
      <c r="C15" s="49">
        <f>+'Formato 6 a)'!E83-'Formato 6 a)'!E150</f>
        <v>12805351478.27</v>
      </c>
      <c r="D15" s="49">
        <f>+'Formato 6 a)'!F83-'Formato 6 a)'!F150</f>
        <v>12796156331.759998</v>
      </c>
    </row>
    <row r="16" spans="1:4" ht="14.25">
      <c r="A16" s="21"/>
      <c r="B16" s="40"/>
      <c r="C16" s="40"/>
      <c r="D16" s="40"/>
    </row>
    <row r="17" spans="1:4" ht="14.25">
      <c r="A17" s="22" t="s">
        <v>191</v>
      </c>
      <c r="B17" s="15">
        <f>B18+B19</f>
        <v>0</v>
      </c>
      <c r="C17" s="14">
        <f>C18+C19</f>
        <v>391635169.26</v>
      </c>
      <c r="D17" s="14">
        <f>D18+D19</f>
        <v>387357291.52000004</v>
      </c>
    </row>
    <row r="18" spans="1:4" ht="14.25">
      <c r="A18" s="19" t="s">
        <v>192</v>
      </c>
      <c r="B18" s="16">
        <v>0</v>
      </c>
      <c r="C18" s="56">
        <v>361450857.95</v>
      </c>
      <c r="D18" s="56">
        <v>357172980.21000004</v>
      </c>
    </row>
    <row r="19" spans="1:4" ht="14.25">
      <c r="A19" s="19" t="s">
        <v>193</v>
      </c>
      <c r="B19" s="16">
        <v>0</v>
      </c>
      <c r="C19" s="56">
        <v>30184311.309999995</v>
      </c>
      <c r="D19" s="56">
        <v>30184311.309999995</v>
      </c>
    </row>
    <row r="20" spans="1:4" ht="14.25">
      <c r="A20" s="21"/>
      <c r="B20" s="40"/>
      <c r="C20" s="40"/>
      <c r="D20" s="40"/>
    </row>
    <row r="21" spans="1:4" ht="14.25">
      <c r="A21" s="22" t="s">
        <v>194</v>
      </c>
      <c r="B21" s="97">
        <f>B8-B13+B17</f>
        <v>0</v>
      </c>
      <c r="C21" s="47">
        <f>C8-C13+C17</f>
        <v>1707482611.0199945</v>
      </c>
      <c r="D21" s="133">
        <f>D8-D13+D17</f>
        <v>1779849730.9500003</v>
      </c>
    </row>
    <row r="22" spans="1:4" ht="14.25">
      <c r="A22" s="22"/>
      <c r="B22" s="40"/>
      <c r="C22" s="40"/>
      <c r="D22" s="40"/>
    </row>
    <row r="23" spans="1:4" ht="14.25">
      <c r="A23" s="22" t="s">
        <v>195</v>
      </c>
      <c r="B23" s="47">
        <f>B21-B11</f>
        <v>49584189</v>
      </c>
      <c r="C23" s="47">
        <f>C21-C11</f>
        <v>1757066800.3999946</v>
      </c>
      <c r="D23" s="47">
        <f>D21-D11</f>
        <v>1829433920.3300004</v>
      </c>
    </row>
    <row r="24" spans="1:4" ht="14.25">
      <c r="A24" s="22"/>
      <c r="B24" s="55"/>
      <c r="C24" s="55"/>
      <c r="D24" s="55"/>
    </row>
    <row r="25" spans="1:4" ht="14.25">
      <c r="A25" s="43" t="s">
        <v>196</v>
      </c>
      <c r="B25" s="47">
        <f>B23-B17</f>
        <v>49584189</v>
      </c>
      <c r="C25" s="47">
        <f>C23-C17</f>
        <v>1365431631.1399946</v>
      </c>
      <c r="D25" s="47">
        <f>D23-D17</f>
        <v>1442076628.8100004</v>
      </c>
    </row>
    <row r="26" spans="1:4" ht="14.25">
      <c r="A26" s="54"/>
      <c r="B26" s="41"/>
      <c r="C26" s="41"/>
      <c r="D26" s="41"/>
    </row>
    <row r="27" spans="1:4" ht="14.25">
      <c r="A27" s="68"/>
      <c r="B27" s="37"/>
      <c r="C27" s="37"/>
      <c r="D27" s="37"/>
    </row>
    <row r="28" spans="1:4" ht="14.25">
      <c r="A28" s="13" t="s">
        <v>197</v>
      </c>
      <c r="B28" s="6" t="s">
        <v>198</v>
      </c>
      <c r="C28" s="6" t="s">
        <v>182</v>
      </c>
      <c r="D28" s="6" t="s">
        <v>199</v>
      </c>
    </row>
    <row r="29" spans="1:4" ht="14.25">
      <c r="A29" s="22" t="s">
        <v>200</v>
      </c>
      <c r="B29" s="26">
        <f>B30+B31</f>
        <v>173560160</v>
      </c>
      <c r="C29" s="26">
        <f>C30+C31</f>
        <v>225087343.73</v>
      </c>
      <c r="D29" s="26">
        <f>D30+D31</f>
        <v>225087343.73</v>
      </c>
    </row>
    <row r="30" spans="1:4" ht="14.25">
      <c r="A30" s="19" t="s">
        <v>201</v>
      </c>
      <c r="B30" s="27">
        <f>+'Formato 6 a)'!B76</f>
        <v>173560160</v>
      </c>
      <c r="C30" s="27">
        <f>+'Formato 6 a)'!E76</f>
        <v>225087343.73</v>
      </c>
      <c r="D30" s="27">
        <f>+'Formato 6 a)'!F76</f>
        <v>225087343.73</v>
      </c>
    </row>
    <row r="31" spans="1:4" ht="14.25">
      <c r="A31" s="19" t="s">
        <v>202</v>
      </c>
      <c r="B31" s="83">
        <v>0</v>
      </c>
      <c r="C31" s="83">
        <v>0</v>
      </c>
      <c r="D31" s="83">
        <v>0</v>
      </c>
    </row>
    <row r="32" spans="1:4" ht="14.25">
      <c r="A32" s="33"/>
      <c r="B32" s="28"/>
      <c r="C32" s="28"/>
      <c r="D32" s="28"/>
    </row>
    <row r="33" spans="1:4" ht="14.25">
      <c r="A33" s="22" t="s">
        <v>203</v>
      </c>
      <c r="B33" s="26">
        <f>B25+B29</f>
        <v>223144349</v>
      </c>
      <c r="C33" s="26">
        <f>C25+C29</f>
        <v>1590518974.8699946</v>
      </c>
      <c r="D33" s="26">
        <f>D25+D29</f>
        <v>1667163972.5400004</v>
      </c>
    </row>
    <row r="34" spans="1:4" ht="14.25">
      <c r="A34" s="34"/>
      <c r="B34" s="34"/>
      <c r="C34" s="34"/>
      <c r="D34" s="34"/>
    </row>
    <row r="35" spans="1:4" ht="14.25">
      <c r="A35" s="68"/>
      <c r="B35" s="37"/>
      <c r="C35" s="37"/>
      <c r="D35" s="37"/>
    </row>
    <row r="36" spans="1:4" ht="28.5">
      <c r="A36" s="13" t="s">
        <v>197</v>
      </c>
      <c r="B36" s="6" t="s">
        <v>204</v>
      </c>
      <c r="C36" s="6" t="s">
        <v>182</v>
      </c>
      <c r="D36" s="6" t="s">
        <v>183</v>
      </c>
    </row>
    <row r="37" spans="1:4" ht="14.25">
      <c r="A37" s="22" t="s">
        <v>205</v>
      </c>
      <c r="B37" s="85">
        <f>B38+B39</f>
        <v>0</v>
      </c>
      <c r="C37" s="85">
        <f>C38+C39</f>
        <v>0</v>
      </c>
      <c r="D37" s="85">
        <f>D38+D39</f>
        <v>0</v>
      </c>
    </row>
    <row r="38" spans="1:4" ht="14.25">
      <c r="A38" s="19" t="s">
        <v>206</v>
      </c>
      <c r="B38" s="83">
        <v>0</v>
      </c>
      <c r="C38" s="83">
        <v>0</v>
      </c>
      <c r="D38" s="83">
        <v>0</v>
      </c>
    </row>
    <row r="39" spans="1:4" ht="14.25">
      <c r="A39" s="19" t="s">
        <v>207</v>
      </c>
      <c r="B39" s="83">
        <v>0</v>
      </c>
      <c r="C39" s="83">
        <v>0</v>
      </c>
      <c r="D39" s="83">
        <v>0</v>
      </c>
    </row>
    <row r="40" spans="1:4" ht="14.25">
      <c r="A40" s="22" t="s">
        <v>208</v>
      </c>
      <c r="B40" s="85">
        <f>B41+B42</f>
        <v>49584189</v>
      </c>
      <c r="C40" s="85">
        <f>C41+C42</f>
        <v>49584189.38</v>
      </c>
      <c r="D40" s="85">
        <f>D41+D42</f>
        <v>49584189.38</v>
      </c>
    </row>
    <row r="41" spans="1:4" ht="14.25">
      <c r="A41" s="19" t="s">
        <v>209</v>
      </c>
      <c r="B41" s="83">
        <f>+'Formato 6 a)'!B75</f>
        <v>49584189</v>
      </c>
      <c r="C41" s="83">
        <f>+'Formato 6 a)'!E75</f>
        <v>49584189.38</v>
      </c>
      <c r="D41" s="83">
        <f>+'Formato 6 a)'!F75</f>
        <v>49584189.38</v>
      </c>
    </row>
    <row r="42" spans="1:4" ht="14.25">
      <c r="A42" s="19" t="s">
        <v>210</v>
      </c>
      <c r="B42" s="83">
        <v>0</v>
      </c>
      <c r="C42" s="83">
        <v>0</v>
      </c>
      <c r="D42" s="83">
        <v>0</v>
      </c>
    </row>
    <row r="43" spans="1:4" ht="14.25">
      <c r="A43" s="33"/>
      <c r="B43" s="84"/>
      <c r="C43" s="84"/>
      <c r="D43" s="84"/>
    </row>
    <row r="44" spans="1:4" ht="14.25">
      <c r="A44" s="22" t="s">
        <v>211</v>
      </c>
      <c r="B44" s="85">
        <f>B37-B40</f>
        <v>-49584189</v>
      </c>
      <c r="C44" s="85">
        <f>C37-C40</f>
        <v>-49584189.38</v>
      </c>
      <c r="D44" s="85">
        <f>D37-D40</f>
        <v>-49584189.38</v>
      </c>
    </row>
    <row r="45" spans="1:4" ht="14.25">
      <c r="A45" s="53"/>
      <c r="B45" s="34"/>
      <c r="C45" s="34"/>
      <c r="D45" s="34"/>
    </row>
    <row r="46" spans="1:4" ht="14.25">
      <c r="A46" s="37"/>
      <c r="B46" s="37"/>
      <c r="C46" s="37"/>
      <c r="D46" s="37"/>
    </row>
    <row r="47" spans="1:4" ht="28.5">
      <c r="A47" s="13" t="s">
        <v>197</v>
      </c>
      <c r="B47" s="6" t="s">
        <v>204</v>
      </c>
      <c r="C47" s="6" t="s">
        <v>182</v>
      </c>
      <c r="D47" s="6" t="s">
        <v>183</v>
      </c>
    </row>
    <row r="48" spans="1:4" ht="14.25">
      <c r="A48" s="44" t="s">
        <v>212</v>
      </c>
      <c r="B48" s="50">
        <f>B9</f>
        <v>11307589765</v>
      </c>
      <c r="C48" s="50">
        <f>C9</f>
        <v>11841065644.65</v>
      </c>
      <c r="D48" s="50">
        <f>D9</f>
        <v>11840961727.65</v>
      </c>
    </row>
    <row r="49" spans="1:4" ht="14.25">
      <c r="A49" s="46" t="s">
        <v>213</v>
      </c>
      <c r="B49" s="26">
        <f>B50-B51</f>
        <v>-49584189</v>
      </c>
      <c r="C49" s="26">
        <f>C50-C51</f>
        <v>-49584189.38</v>
      </c>
      <c r="D49" s="26">
        <f>D50-D51</f>
        <v>-49584189.38</v>
      </c>
    </row>
    <row r="50" spans="1:4" ht="14.25">
      <c r="A50" s="48" t="s">
        <v>206</v>
      </c>
      <c r="B50" s="83">
        <f>+B38</f>
        <v>0</v>
      </c>
      <c r="C50" s="83">
        <f>+C38</f>
        <v>0</v>
      </c>
      <c r="D50" s="83">
        <f>+D38</f>
        <v>0</v>
      </c>
    </row>
    <row r="51" spans="1:4" ht="14.25">
      <c r="A51" s="48" t="s">
        <v>209</v>
      </c>
      <c r="B51" s="83">
        <f>+B41</f>
        <v>49584189</v>
      </c>
      <c r="C51" s="83">
        <f>+C41</f>
        <v>49584189.38</v>
      </c>
      <c r="D51" s="83">
        <f>+D41</f>
        <v>49584189.38</v>
      </c>
    </row>
    <row r="52" spans="1:4" ht="14.25">
      <c r="A52" s="33"/>
      <c r="B52" s="84"/>
      <c r="C52" s="84"/>
      <c r="D52" s="84"/>
    </row>
    <row r="53" spans="1:4" ht="14.25">
      <c r="A53" s="19" t="s">
        <v>189</v>
      </c>
      <c r="B53" s="83">
        <f>B14</f>
        <v>11258005576</v>
      </c>
      <c r="C53" s="83">
        <f>C14</f>
        <v>10579468688.540003</v>
      </c>
      <c r="D53" s="83">
        <f>D14</f>
        <v>10511914920.380001</v>
      </c>
    </row>
    <row r="54" spans="1:4" ht="14.25">
      <c r="A54" s="33"/>
      <c r="B54" s="84"/>
      <c r="C54" s="84"/>
      <c r="D54" s="84"/>
    </row>
    <row r="55" spans="1:4" ht="14.25">
      <c r="A55" s="19" t="s">
        <v>192</v>
      </c>
      <c r="B55" s="98">
        <f>B18</f>
        <v>0</v>
      </c>
      <c r="C55" s="99">
        <f>C18</f>
        <v>361450857.95</v>
      </c>
      <c r="D55" s="99">
        <f>D18</f>
        <v>357172980.21000004</v>
      </c>
    </row>
    <row r="56" spans="1:4" ht="14.25">
      <c r="A56" s="33"/>
      <c r="B56" s="84"/>
      <c r="C56" s="84"/>
      <c r="D56" s="84"/>
    </row>
    <row r="57" spans="1:4" ht="28.5">
      <c r="A57" s="43" t="s">
        <v>214</v>
      </c>
      <c r="B57" s="85">
        <f>B48+B49-B53+B55</f>
        <v>0</v>
      </c>
      <c r="C57" s="85">
        <f>C48+C49-C53+C55</f>
        <v>1573463624.6799977</v>
      </c>
      <c r="D57" s="85">
        <f>D48+D49-D53+D55</f>
        <v>1636635598.0999994</v>
      </c>
    </row>
    <row r="58" spans="1:4" ht="14.25">
      <c r="A58" s="51"/>
      <c r="B58" s="52"/>
      <c r="C58" s="52"/>
      <c r="D58" s="52"/>
    </row>
    <row r="59" spans="1:4" ht="14.25">
      <c r="A59" s="43" t="s">
        <v>215</v>
      </c>
      <c r="B59" s="26">
        <f>B57-B49</f>
        <v>49584189</v>
      </c>
      <c r="C59" s="26">
        <f>C57-C49</f>
        <v>1623047814.0599978</v>
      </c>
      <c r="D59" s="26">
        <f>D57-D49</f>
        <v>1686219787.4799995</v>
      </c>
    </row>
    <row r="60" spans="1:4" ht="14.25">
      <c r="A60" s="34"/>
      <c r="B60" s="34"/>
      <c r="C60" s="34"/>
      <c r="D60" s="34"/>
    </row>
    <row r="61" spans="1:4" ht="14.25">
      <c r="A61" s="37"/>
      <c r="B61" s="37"/>
      <c r="C61" s="37"/>
      <c r="D61" s="37"/>
    </row>
    <row r="62" spans="1:4" ht="28.5">
      <c r="A62" s="13" t="s">
        <v>197</v>
      </c>
      <c r="B62" s="6" t="s">
        <v>204</v>
      </c>
      <c r="C62" s="6" t="s">
        <v>182</v>
      </c>
      <c r="D62" s="6" t="s">
        <v>183</v>
      </c>
    </row>
    <row r="63" spans="1:4" ht="14.25">
      <c r="A63" s="44" t="s">
        <v>186</v>
      </c>
      <c r="B63" s="45">
        <f>B10</f>
        <v>11042353021</v>
      </c>
      <c r="C63" s="45">
        <f>C10</f>
        <v>12909186153.300001</v>
      </c>
      <c r="D63" s="45">
        <f>D10</f>
        <v>12909186153.300001</v>
      </c>
    </row>
    <row r="64" spans="1:4" ht="14.25">
      <c r="A64" s="46" t="s">
        <v>216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 ht="14.25">
      <c r="A65" s="48" t="s">
        <v>207</v>
      </c>
      <c r="B65" s="100">
        <f>+B39</f>
        <v>0</v>
      </c>
      <c r="C65" s="100">
        <f>+C39</f>
        <v>0</v>
      </c>
      <c r="D65" s="100">
        <f>+D39</f>
        <v>0</v>
      </c>
    </row>
    <row r="66" spans="1:4" ht="14.25">
      <c r="A66" s="48" t="s">
        <v>210</v>
      </c>
      <c r="B66" s="100">
        <f>+B42</f>
        <v>0</v>
      </c>
      <c r="C66" s="100">
        <f>+C42</f>
        <v>0</v>
      </c>
      <c r="D66" s="100">
        <f>+D42</f>
        <v>0</v>
      </c>
    </row>
    <row r="67" spans="1:4" ht="14.25">
      <c r="A67" s="33"/>
      <c r="B67" s="91"/>
      <c r="C67" s="91"/>
      <c r="D67" s="91"/>
    </row>
    <row r="68" spans="1:4" ht="14.25">
      <c r="A68" s="19" t="s">
        <v>217</v>
      </c>
      <c r="B68" s="100">
        <f>B15</f>
        <v>11042353021</v>
      </c>
      <c r="C68" s="100">
        <f>C15</f>
        <v>12805351478.27</v>
      </c>
      <c r="D68" s="100">
        <f>D15</f>
        <v>12796156331.759998</v>
      </c>
    </row>
    <row r="69" spans="1:4" ht="14.25">
      <c r="A69" s="33"/>
      <c r="B69" s="91"/>
      <c r="C69" s="91"/>
      <c r="D69" s="91"/>
    </row>
    <row r="70" spans="1:4" ht="14.25">
      <c r="A70" s="19" t="s">
        <v>193</v>
      </c>
      <c r="B70" s="101">
        <f>B19</f>
        <v>0</v>
      </c>
      <c r="C70" s="102">
        <f>C19</f>
        <v>30184311.309999995</v>
      </c>
      <c r="D70" s="102">
        <f>D19</f>
        <v>30184311.309999995</v>
      </c>
    </row>
    <row r="71" spans="1:4" ht="14.25">
      <c r="A71" s="33"/>
      <c r="B71" s="91"/>
      <c r="C71" s="91"/>
      <c r="D71" s="91"/>
    </row>
    <row r="72" spans="1:4" ht="28.5">
      <c r="A72" s="43" t="s">
        <v>218</v>
      </c>
      <c r="B72" s="97">
        <f>B63+B64-B68+B70</f>
        <v>0</v>
      </c>
      <c r="C72" s="97">
        <f>C63+C64-C68+C70</f>
        <v>134018986.34000069</v>
      </c>
      <c r="D72" s="97">
        <f>D63+D64-D68+D70</f>
        <v>143214132.85000283</v>
      </c>
    </row>
    <row r="73" spans="1:4" ht="14.25">
      <c r="A73" s="33"/>
      <c r="B73" s="91"/>
      <c r="C73" s="91"/>
      <c r="D73" s="91"/>
    </row>
    <row r="74" spans="1:4" ht="14.25">
      <c r="A74" s="43" t="s">
        <v>219</v>
      </c>
      <c r="B74" s="97">
        <f>B72-B64</f>
        <v>0</v>
      </c>
      <c r="C74" s="97">
        <f>C72-C64</f>
        <v>134018986.34000069</v>
      </c>
      <c r="D74" s="97">
        <f>D72-D64</f>
        <v>143214132.85000283</v>
      </c>
    </row>
    <row r="75" spans="1:4" ht="14.25">
      <c r="A75" s="34"/>
      <c r="B75" s="41"/>
      <c r="C75" s="41"/>
      <c r="D75" s="41"/>
    </row>
    <row r="76" ht="14.2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2:D22 B29:D29 B33:D33 B37:D37 B40:D40 B44:D44 B48:D49 B50:D53 B55:D59 B63:D63 B64:D64 B68:D68 C70:D71 D72:D74 C72 B74:C74 B72:B73 B65:D66 C9:D10 B9:B10 B14:B15 C14:C15 D14:D15 B30:D30 B41:D41 B21:C21 B25:D25 B24:D24 B23:C23 D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77" sqref="G77"/>
    </sheetView>
  </sheetViews>
  <sheetFormatPr defaultColWidth="1.1484375" defaultRowHeight="15" zeroHeight="1"/>
  <cols>
    <col min="1" max="1" width="76.7109375" style="0" customWidth="1"/>
    <col min="2" max="7" width="20.7109375" style="0" customWidth="1"/>
    <col min="8" max="255" width="11.421875" style="0" hidden="1" customWidth="1"/>
  </cols>
  <sheetData>
    <row r="1" spans="1:7" ht="21">
      <c r="A1" s="161" t="s">
        <v>220</v>
      </c>
      <c r="B1" s="161"/>
      <c r="C1" s="161"/>
      <c r="D1" s="161"/>
      <c r="E1" s="161"/>
      <c r="F1" s="161"/>
      <c r="G1" s="161"/>
    </row>
    <row r="2" spans="1:7" ht="14.25">
      <c r="A2" s="142" t="s">
        <v>290</v>
      </c>
      <c r="B2" s="143"/>
      <c r="C2" s="143"/>
      <c r="D2" s="143"/>
      <c r="E2" s="143"/>
      <c r="F2" s="143"/>
      <c r="G2" s="144"/>
    </row>
    <row r="3" spans="1:7" ht="14.25">
      <c r="A3" s="145" t="s">
        <v>221</v>
      </c>
      <c r="B3" s="146"/>
      <c r="C3" s="146"/>
      <c r="D3" s="146"/>
      <c r="E3" s="146"/>
      <c r="F3" s="146"/>
      <c r="G3" s="147"/>
    </row>
    <row r="4" spans="1:7" ht="14.25">
      <c r="A4" s="148" t="s">
        <v>478</v>
      </c>
      <c r="B4" s="149"/>
      <c r="C4" s="149"/>
      <c r="D4" s="149"/>
      <c r="E4" s="149"/>
      <c r="F4" s="149"/>
      <c r="G4" s="150"/>
    </row>
    <row r="5" spans="1:7" ht="14.25">
      <c r="A5" s="151" t="s">
        <v>2</v>
      </c>
      <c r="B5" s="152"/>
      <c r="C5" s="152"/>
      <c r="D5" s="152"/>
      <c r="E5" s="152"/>
      <c r="F5" s="152"/>
      <c r="G5" s="153"/>
    </row>
    <row r="6" spans="1:7" ht="14.25">
      <c r="A6" s="158" t="s">
        <v>222</v>
      </c>
      <c r="B6" s="160" t="s">
        <v>223</v>
      </c>
      <c r="C6" s="160"/>
      <c r="D6" s="160"/>
      <c r="E6" s="160"/>
      <c r="F6" s="160"/>
      <c r="G6" s="160" t="s">
        <v>224</v>
      </c>
    </row>
    <row r="7" spans="1:7" ht="28.5">
      <c r="A7" s="159"/>
      <c r="B7" s="17" t="s">
        <v>225</v>
      </c>
      <c r="C7" s="6" t="s">
        <v>226</v>
      </c>
      <c r="D7" s="17" t="s">
        <v>227</v>
      </c>
      <c r="E7" s="17" t="s">
        <v>182</v>
      </c>
      <c r="F7" s="17" t="s">
        <v>228</v>
      </c>
      <c r="G7" s="160"/>
    </row>
    <row r="8" spans="1:7" ht="14.25">
      <c r="A8" s="18" t="s">
        <v>229</v>
      </c>
      <c r="B8" s="40"/>
      <c r="C8" s="40"/>
      <c r="D8" s="40"/>
      <c r="E8" s="40"/>
      <c r="F8" s="40"/>
      <c r="G8" s="40"/>
    </row>
    <row r="9" spans="1:7" ht="14.25">
      <c r="A9" s="113" t="s">
        <v>230</v>
      </c>
      <c r="B9" s="85">
        <v>1667820079</v>
      </c>
      <c r="C9" s="85">
        <v>450202078.5</v>
      </c>
      <c r="D9" s="130">
        <f>+B9+C9</f>
        <v>2118022157.5</v>
      </c>
      <c r="E9" s="85">
        <v>2118022157.5</v>
      </c>
      <c r="F9" s="85">
        <v>2118006472.5</v>
      </c>
      <c r="G9" s="85">
        <f>+F9-B9</f>
        <v>450186393.5</v>
      </c>
    </row>
    <row r="10" spans="1:7" ht="14.25">
      <c r="A10" s="113" t="s">
        <v>231</v>
      </c>
      <c r="B10" s="85">
        <v>0</v>
      </c>
      <c r="C10" s="85">
        <v>0</v>
      </c>
      <c r="D10" s="130">
        <f aca="true" t="shared" si="0" ref="D10:D39">+B10+C10</f>
        <v>0</v>
      </c>
      <c r="E10" s="85">
        <v>0</v>
      </c>
      <c r="F10" s="85">
        <v>0</v>
      </c>
      <c r="G10" s="85">
        <f aca="true" t="shared" si="1" ref="G10:G15">+F10-B10</f>
        <v>0</v>
      </c>
    </row>
    <row r="11" spans="1:7" ht="14.25">
      <c r="A11" s="113" t="s">
        <v>232</v>
      </c>
      <c r="B11" s="85">
        <v>0</v>
      </c>
      <c r="C11" s="85">
        <v>0</v>
      </c>
      <c r="D11" s="130">
        <f t="shared" si="0"/>
        <v>0</v>
      </c>
      <c r="E11" s="85">
        <v>0</v>
      </c>
      <c r="F11" s="85">
        <v>0</v>
      </c>
      <c r="G11" s="85">
        <f t="shared" si="1"/>
        <v>0</v>
      </c>
    </row>
    <row r="12" spans="1:7" ht="14.25">
      <c r="A12" s="113" t="s">
        <v>233</v>
      </c>
      <c r="B12" s="85">
        <v>451544046</v>
      </c>
      <c r="C12" s="85">
        <v>156040062.6</v>
      </c>
      <c r="D12" s="130">
        <f t="shared" si="0"/>
        <v>607584108.6</v>
      </c>
      <c r="E12" s="85">
        <v>607584108.6</v>
      </c>
      <c r="F12" s="85">
        <v>607584108.6</v>
      </c>
      <c r="G12" s="85">
        <f t="shared" si="1"/>
        <v>156040062.60000002</v>
      </c>
    </row>
    <row r="13" spans="1:7" ht="14.25">
      <c r="A13" s="113" t="s">
        <v>234</v>
      </c>
      <c r="B13" s="85">
        <v>17998246</v>
      </c>
      <c r="C13" s="85">
        <v>237632413.43</v>
      </c>
      <c r="D13" s="130">
        <f t="shared" si="0"/>
        <v>255630659.43</v>
      </c>
      <c r="E13" s="85">
        <v>255630659.43</v>
      </c>
      <c r="F13" s="85">
        <v>255630659.43</v>
      </c>
      <c r="G13" s="85">
        <f t="shared" si="1"/>
        <v>237632413.43</v>
      </c>
    </row>
    <row r="14" spans="1:7" ht="14.25">
      <c r="A14" s="113" t="s">
        <v>235</v>
      </c>
      <c r="B14" s="85">
        <v>13352173</v>
      </c>
      <c r="C14" s="85">
        <v>76053638.52</v>
      </c>
      <c r="D14" s="130">
        <f t="shared" si="0"/>
        <v>89405811.52</v>
      </c>
      <c r="E14" s="85">
        <v>89405811.52000001</v>
      </c>
      <c r="F14" s="85">
        <v>89317579.52000001</v>
      </c>
      <c r="G14" s="85">
        <f t="shared" si="1"/>
        <v>75965406.52000001</v>
      </c>
    </row>
    <row r="15" spans="1:7" ht="14.25">
      <c r="A15" s="113" t="s">
        <v>236</v>
      </c>
      <c r="B15" s="85">
        <v>0</v>
      </c>
      <c r="C15" s="85">
        <v>0</v>
      </c>
      <c r="D15" s="130">
        <f t="shared" si="0"/>
        <v>0</v>
      </c>
      <c r="E15" s="85">
        <v>0</v>
      </c>
      <c r="F15" s="85">
        <v>0</v>
      </c>
      <c r="G15" s="85">
        <f t="shared" si="1"/>
        <v>0</v>
      </c>
    </row>
    <row r="16" spans="1:7" ht="14.25">
      <c r="A16" s="114" t="s">
        <v>237</v>
      </c>
      <c r="B16" s="85">
        <v>9012613819</v>
      </c>
      <c r="C16" s="130">
        <f>SUM(C17:C27)</f>
        <v>-418045172</v>
      </c>
      <c r="D16" s="130">
        <f t="shared" si="0"/>
        <v>8594568647</v>
      </c>
      <c r="E16" s="130">
        <f>SUM(E17:E27)</f>
        <v>8594568647</v>
      </c>
      <c r="F16" s="85">
        <f>SUM(F17:F27)</f>
        <v>8594568647</v>
      </c>
      <c r="G16" s="85">
        <f>SUM(G17:G27)</f>
        <v>-418045172</v>
      </c>
    </row>
    <row r="17" spans="1:7" ht="14.25">
      <c r="A17" s="20" t="s">
        <v>238</v>
      </c>
      <c r="B17" s="83">
        <v>5737361274</v>
      </c>
      <c r="C17" s="83">
        <v>-604407122</v>
      </c>
      <c r="D17" s="130">
        <f>+B17+C17</f>
        <v>5132954152</v>
      </c>
      <c r="E17" s="83">
        <v>5132954152</v>
      </c>
      <c r="F17" s="83">
        <v>5132954152</v>
      </c>
      <c r="G17" s="83">
        <f>+F17-B17</f>
        <v>-604407122</v>
      </c>
    </row>
    <row r="18" spans="1:7" ht="14.25">
      <c r="A18" s="20" t="s">
        <v>239</v>
      </c>
      <c r="B18" s="83">
        <v>386933569</v>
      </c>
      <c r="C18" s="83">
        <v>10189466</v>
      </c>
      <c r="D18" s="130">
        <f t="shared" si="0"/>
        <v>397123035</v>
      </c>
      <c r="E18" s="83">
        <v>397123035</v>
      </c>
      <c r="F18" s="83">
        <v>397123035</v>
      </c>
      <c r="G18" s="83">
        <f aca="true" t="shared" si="2" ref="G18:G33">+F18-B18</f>
        <v>10189466</v>
      </c>
    </row>
    <row r="19" spans="1:7" ht="14.25">
      <c r="A19" s="20" t="s">
        <v>240</v>
      </c>
      <c r="B19" s="83">
        <v>264762482</v>
      </c>
      <c r="C19" s="83">
        <v>-2487727</v>
      </c>
      <c r="D19" s="130">
        <f t="shared" si="0"/>
        <v>262274755</v>
      </c>
      <c r="E19" s="83">
        <v>262274755</v>
      </c>
      <c r="F19" s="83">
        <v>262274755</v>
      </c>
      <c r="G19" s="83">
        <f t="shared" si="2"/>
        <v>-2487727</v>
      </c>
    </row>
    <row r="20" spans="1:7" ht="14.25">
      <c r="A20" s="20" t="s">
        <v>241</v>
      </c>
      <c r="B20" s="83">
        <v>0</v>
      </c>
      <c r="C20" s="83">
        <v>0</v>
      </c>
      <c r="D20" s="130">
        <f t="shared" si="0"/>
        <v>0</v>
      </c>
      <c r="E20" s="83">
        <v>0</v>
      </c>
      <c r="F20" s="83">
        <v>0</v>
      </c>
      <c r="G20" s="83">
        <f t="shared" si="2"/>
        <v>0</v>
      </c>
    </row>
    <row r="21" spans="1:7" ht="14.25">
      <c r="A21" s="20" t="s">
        <v>242</v>
      </c>
      <c r="B21" s="83">
        <v>1763764630</v>
      </c>
      <c r="C21" s="83">
        <v>-17234217</v>
      </c>
      <c r="D21" s="130">
        <f t="shared" si="0"/>
        <v>1746530413</v>
      </c>
      <c r="E21" s="83">
        <v>1746530413</v>
      </c>
      <c r="F21" s="83">
        <v>1746530413</v>
      </c>
      <c r="G21" s="83">
        <f t="shared" si="2"/>
        <v>-17234217</v>
      </c>
    </row>
    <row r="22" spans="1:7" ht="14.25">
      <c r="A22" s="20" t="s">
        <v>243</v>
      </c>
      <c r="B22" s="83">
        <v>35523556</v>
      </c>
      <c r="C22" s="83">
        <v>13488309</v>
      </c>
      <c r="D22" s="130">
        <f t="shared" si="0"/>
        <v>49011865</v>
      </c>
      <c r="E22" s="83">
        <v>49011865</v>
      </c>
      <c r="F22" s="83">
        <v>49011865</v>
      </c>
      <c r="G22" s="83">
        <f t="shared" si="2"/>
        <v>13488309</v>
      </c>
    </row>
    <row r="23" spans="1:7" ht="14.25">
      <c r="A23" s="20" t="s">
        <v>244</v>
      </c>
      <c r="B23" s="83">
        <v>0</v>
      </c>
      <c r="C23" s="83">
        <v>0</v>
      </c>
      <c r="D23" s="130">
        <f>+B23+C23</f>
        <v>0</v>
      </c>
      <c r="E23" s="83">
        <v>0</v>
      </c>
      <c r="F23" s="83">
        <v>0</v>
      </c>
      <c r="G23" s="83">
        <f t="shared" si="2"/>
        <v>0</v>
      </c>
    </row>
    <row r="24" spans="1:7" ht="14.25">
      <c r="A24" s="20" t="s">
        <v>245</v>
      </c>
      <c r="B24" s="83">
        <v>0</v>
      </c>
      <c r="C24" s="83">
        <v>0</v>
      </c>
      <c r="D24" s="130">
        <f t="shared" si="0"/>
        <v>0</v>
      </c>
      <c r="E24" s="83">
        <v>0</v>
      </c>
      <c r="F24" s="83">
        <v>0</v>
      </c>
      <c r="G24" s="83">
        <f t="shared" si="2"/>
        <v>0</v>
      </c>
    </row>
    <row r="25" spans="1:7" ht="14.25">
      <c r="A25" s="20" t="s">
        <v>246</v>
      </c>
      <c r="B25" s="83">
        <v>182271118</v>
      </c>
      <c r="C25" s="83">
        <v>-7353345</v>
      </c>
      <c r="D25" s="130">
        <f t="shared" si="0"/>
        <v>174917773</v>
      </c>
      <c r="E25" s="83">
        <v>174917773</v>
      </c>
      <c r="F25" s="83">
        <v>174917773</v>
      </c>
      <c r="G25" s="83">
        <f t="shared" si="2"/>
        <v>-7353345</v>
      </c>
    </row>
    <row r="26" spans="1:7" ht="14.25">
      <c r="A26" s="20" t="s">
        <v>247</v>
      </c>
      <c r="B26" s="83">
        <v>641997190</v>
      </c>
      <c r="C26" s="83">
        <v>180045519</v>
      </c>
      <c r="D26" s="130">
        <f t="shared" si="0"/>
        <v>822042709</v>
      </c>
      <c r="E26" s="83">
        <v>822042709</v>
      </c>
      <c r="F26" s="83">
        <v>822042709</v>
      </c>
      <c r="G26" s="83">
        <f t="shared" si="2"/>
        <v>180045519</v>
      </c>
    </row>
    <row r="27" spans="1:7" ht="14.25">
      <c r="A27" s="20" t="s">
        <v>248</v>
      </c>
      <c r="B27" s="83">
        <v>0</v>
      </c>
      <c r="C27" s="83">
        <v>9713945</v>
      </c>
      <c r="D27" s="130">
        <f t="shared" si="0"/>
        <v>9713945</v>
      </c>
      <c r="E27" s="83">
        <v>9713945</v>
      </c>
      <c r="F27" s="83">
        <v>9713945</v>
      </c>
      <c r="G27" s="83">
        <f t="shared" si="2"/>
        <v>9713945</v>
      </c>
    </row>
    <row r="28" spans="1:7" ht="14.25">
      <c r="A28" s="113" t="s">
        <v>249</v>
      </c>
      <c r="B28" s="85">
        <f>SUM(B29:B33)</f>
        <v>144261402</v>
      </c>
      <c r="C28" s="85">
        <f>SUM(C29:C33)</f>
        <v>30838610.6</v>
      </c>
      <c r="D28" s="130">
        <f t="shared" si="0"/>
        <v>175100012.6</v>
      </c>
      <c r="E28" s="130">
        <f>SUM(E29:E33)</f>
        <v>175100012.6</v>
      </c>
      <c r="F28" s="85">
        <f>SUM(F29:F33)</f>
        <v>175100012.6</v>
      </c>
      <c r="G28" s="85">
        <f>SUM(G29:G33)</f>
        <v>30838610.599999994</v>
      </c>
    </row>
    <row r="29" spans="1:7" ht="14.25">
      <c r="A29" s="20" t="s">
        <v>250</v>
      </c>
      <c r="B29" s="83">
        <v>0</v>
      </c>
      <c r="C29" s="83">
        <v>0</v>
      </c>
      <c r="D29" s="130">
        <f t="shared" si="0"/>
        <v>0</v>
      </c>
      <c r="E29" s="83">
        <v>0</v>
      </c>
      <c r="F29" s="83">
        <v>0</v>
      </c>
      <c r="G29" s="83">
        <f t="shared" si="2"/>
        <v>0</v>
      </c>
    </row>
    <row r="30" spans="1:7" ht="14.25">
      <c r="A30" s="20" t="s">
        <v>251</v>
      </c>
      <c r="B30" s="83">
        <v>14921500</v>
      </c>
      <c r="C30" s="83">
        <v>-4</v>
      </c>
      <c r="D30" s="130">
        <f t="shared" si="0"/>
        <v>14921496</v>
      </c>
      <c r="E30" s="83">
        <v>14921496</v>
      </c>
      <c r="F30" s="83">
        <v>14921496</v>
      </c>
      <c r="G30" s="83">
        <f t="shared" si="2"/>
        <v>-4</v>
      </c>
    </row>
    <row r="31" spans="1:7" ht="14.25">
      <c r="A31" s="20" t="s">
        <v>252</v>
      </c>
      <c r="B31" s="83">
        <v>55292858</v>
      </c>
      <c r="C31" s="83">
        <v>23189643</v>
      </c>
      <c r="D31" s="130">
        <f t="shared" si="0"/>
        <v>78482501</v>
      </c>
      <c r="E31" s="83">
        <v>78482501</v>
      </c>
      <c r="F31" s="83">
        <v>78482501</v>
      </c>
      <c r="G31" s="83">
        <f t="shared" si="2"/>
        <v>23189643</v>
      </c>
    </row>
    <row r="32" spans="1:7" ht="14.25">
      <c r="A32" s="20" t="s">
        <v>253</v>
      </c>
      <c r="B32" s="83">
        <v>11301173</v>
      </c>
      <c r="C32" s="83">
        <v>137986</v>
      </c>
      <c r="D32" s="130">
        <f t="shared" si="0"/>
        <v>11439159</v>
      </c>
      <c r="E32" s="83">
        <v>11439159</v>
      </c>
      <c r="F32" s="83">
        <v>11439159</v>
      </c>
      <c r="G32" s="83">
        <f t="shared" si="2"/>
        <v>137986</v>
      </c>
    </row>
    <row r="33" spans="1:7" ht="14.25">
      <c r="A33" s="20" t="s">
        <v>254</v>
      </c>
      <c r="B33" s="83">
        <v>62745871</v>
      </c>
      <c r="C33" s="83">
        <v>7510985.6000000015</v>
      </c>
      <c r="D33" s="130">
        <f t="shared" si="0"/>
        <v>70256856.6</v>
      </c>
      <c r="E33" s="83">
        <v>70256856.6</v>
      </c>
      <c r="F33" s="83">
        <v>70256856.6</v>
      </c>
      <c r="G33" s="83">
        <f t="shared" si="2"/>
        <v>7510985.599999994</v>
      </c>
    </row>
    <row r="34" spans="1:7" ht="14.25">
      <c r="A34" s="113" t="s">
        <v>476</v>
      </c>
      <c r="B34" s="85">
        <v>0</v>
      </c>
      <c r="C34" s="85">
        <v>0</v>
      </c>
      <c r="D34" s="130">
        <f t="shared" si="0"/>
        <v>0</v>
      </c>
      <c r="E34" s="85">
        <v>0</v>
      </c>
      <c r="F34" s="85">
        <v>0</v>
      </c>
      <c r="G34" s="85">
        <f>F34-B34</f>
        <v>0</v>
      </c>
    </row>
    <row r="35" spans="1:7" ht="14.25">
      <c r="A35" s="113" t="s">
        <v>255</v>
      </c>
      <c r="B35" s="85">
        <v>0</v>
      </c>
      <c r="C35" s="130">
        <f>+C36</f>
        <v>754248</v>
      </c>
      <c r="D35" s="130">
        <f t="shared" si="0"/>
        <v>754248</v>
      </c>
      <c r="E35" s="130">
        <f>+E36</f>
        <v>754248</v>
      </c>
      <c r="F35" s="130">
        <f>+F36</f>
        <v>754248</v>
      </c>
      <c r="G35" s="85">
        <f>G36</f>
        <v>754248</v>
      </c>
    </row>
    <row r="36" spans="1:7" ht="14.25">
      <c r="A36" s="20" t="s">
        <v>256</v>
      </c>
      <c r="B36" s="83">
        <v>0</v>
      </c>
      <c r="C36" s="83">
        <v>754248</v>
      </c>
      <c r="D36" s="130">
        <f t="shared" si="0"/>
        <v>754248</v>
      </c>
      <c r="E36" s="83">
        <v>754248</v>
      </c>
      <c r="F36" s="83">
        <v>754248</v>
      </c>
      <c r="G36" s="83">
        <f>+F36-B36</f>
        <v>754248</v>
      </c>
    </row>
    <row r="37" spans="1:7" ht="14.25">
      <c r="A37" s="113" t="s">
        <v>257</v>
      </c>
      <c r="B37" s="85">
        <v>0</v>
      </c>
      <c r="C37" s="85">
        <v>0</v>
      </c>
      <c r="D37" s="130">
        <f t="shared" si="0"/>
        <v>0</v>
      </c>
      <c r="E37" s="85">
        <v>0</v>
      </c>
      <c r="F37" s="85">
        <v>0</v>
      </c>
      <c r="G37" s="85">
        <f>G38+G39</f>
        <v>0</v>
      </c>
    </row>
    <row r="38" spans="1:7" ht="14.25">
      <c r="A38" s="20" t="s">
        <v>258</v>
      </c>
      <c r="B38" s="83">
        <v>0</v>
      </c>
      <c r="C38" s="83">
        <v>0</v>
      </c>
      <c r="D38" s="130">
        <f t="shared" si="0"/>
        <v>0</v>
      </c>
      <c r="E38" s="83">
        <v>0</v>
      </c>
      <c r="F38" s="83">
        <v>0</v>
      </c>
      <c r="G38" s="83">
        <f>+F38-B38</f>
        <v>0</v>
      </c>
    </row>
    <row r="39" spans="1:7" ht="14.25">
      <c r="A39" s="20" t="s">
        <v>259</v>
      </c>
      <c r="B39" s="83">
        <v>0</v>
      </c>
      <c r="C39" s="83">
        <v>0</v>
      </c>
      <c r="D39" s="130">
        <f t="shared" si="0"/>
        <v>0</v>
      </c>
      <c r="E39" s="83">
        <v>0</v>
      </c>
      <c r="F39" s="83">
        <v>0</v>
      </c>
      <c r="G39" s="83">
        <f>+F39-B39</f>
        <v>0</v>
      </c>
    </row>
    <row r="40" spans="1:7" ht="14.25">
      <c r="A40" s="33"/>
      <c r="B40" s="83"/>
      <c r="C40" s="83"/>
      <c r="D40" s="83"/>
      <c r="E40" s="83"/>
      <c r="F40" s="83"/>
      <c r="G40" s="83"/>
    </row>
    <row r="41" spans="1:7" ht="14.25">
      <c r="A41" s="22" t="s">
        <v>260</v>
      </c>
      <c r="B41" s="85">
        <f aca="true" t="shared" si="3" ref="B41:G41">SUM(B9,B10,B11,B12,B13,B14,B15,B16,B28,B34,B35,B37)</f>
        <v>11307589765</v>
      </c>
      <c r="C41" s="85">
        <f>SUM(C9,C10,C11,C12,C13,C14,C15,C16,C28,C34,C35,C37)</f>
        <v>533475879.65</v>
      </c>
      <c r="D41" s="85">
        <f t="shared" si="3"/>
        <v>11841065644.65</v>
      </c>
      <c r="E41" s="85">
        <f>SUM(E9,E10,E11,E12,E13,E14,E15,E16,E28,E34,E35,E37)</f>
        <v>11841065644.65</v>
      </c>
      <c r="F41" s="85">
        <f t="shared" si="3"/>
        <v>11840961727.65</v>
      </c>
      <c r="G41" s="85">
        <f t="shared" si="3"/>
        <v>533371962.65</v>
      </c>
    </row>
    <row r="42" spans="1:7" ht="14.25">
      <c r="A42" s="22" t="s">
        <v>261</v>
      </c>
      <c r="B42" s="96"/>
      <c r="C42" s="96"/>
      <c r="D42" s="96"/>
      <c r="E42" s="96"/>
      <c r="F42" s="96"/>
      <c r="G42" s="92">
        <f>IF(G41&gt;0,G41,0)</f>
        <v>533371962.65</v>
      </c>
    </row>
    <row r="43" spans="1:7" ht="14.25">
      <c r="A43" s="33"/>
      <c r="B43" s="84"/>
      <c r="C43" s="84"/>
      <c r="D43" s="84"/>
      <c r="E43" s="84"/>
      <c r="F43" s="84"/>
      <c r="G43" s="84"/>
    </row>
    <row r="44" spans="1:7" ht="14.25">
      <c r="A44" s="22" t="s">
        <v>262</v>
      </c>
      <c r="B44" s="84"/>
      <c r="C44" s="84"/>
      <c r="D44" s="84"/>
      <c r="E44" s="84"/>
      <c r="F44" s="84"/>
      <c r="G44" s="84"/>
    </row>
    <row r="45" spans="1:7" ht="14.25">
      <c r="A45" s="113" t="s">
        <v>263</v>
      </c>
      <c r="B45" s="85">
        <v>9463964110</v>
      </c>
      <c r="C45" s="130">
        <f>SUM(C46:C53)</f>
        <v>527238818.53000003</v>
      </c>
      <c r="D45" s="85">
        <f>SUM(D46:D53)</f>
        <v>9991202928.53</v>
      </c>
      <c r="E45" s="85">
        <f>SUM(E46:E53)</f>
        <v>9991202928.53</v>
      </c>
      <c r="F45" s="85">
        <f>SUM(F46:F53)</f>
        <v>9991202928.53</v>
      </c>
      <c r="G45" s="130">
        <f>+F45-B45</f>
        <v>527238818.5300007</v>
      </c>
    </row>
    <row r="46" spans="1:7" ht="14.25">
      <c r="A46" s="35" t="s">
        <v>264</v>
      </c>
      <c r="B46" s="83">
        <v>4810685639</v>
      </c>
      <c r="C46" s="83">
        <v>279886734.07</v>
      </c>
      <c r="D46" s="83">
        <f>+B46+C46</f>
        <v>5090572373.07</v>
      </c>
      <c r="E46" s="83">
        <v>5090572373.07</v>
      </c>
      <c r="F46" s="83">
        <v>5090572373.07</v>
      </c>
      <c r="G46" s="130">
        <f aca="true" t="shared" si="4" ref="G46:G75">+F46-B46</f>
        <v>279886734.0699997</v>
      </c>
    </row>
    <row r="47" spans="1:7" ht="14.25">
      <c r="A47" s="35" t="s">
        <v>265</v>
      </c>
      <c r="B47" s="83">
        <v>1931714766</v>
      </c>
      <c r="C47" s="83">
        <v>16396490.35</v>
      </c>
      <c r="D47" s="127">
        <f aca="true" t="shared" si="5" ref="D47:D58">+B47+C47</f>
        <v>1948111256.35</v>
      </c>
      <c r="E47" s="83">
        <v>1948111256.35</v>
      </c>
      <c r="F47" s="83">
        <v>1948111256.35</v>
      </c>
      <c r="G47" s="85">
        <f t="shared" si="4"/>
        <v>16396490.349999905</v>
      </c>
    </row>
    <row r="48" spans="1:7" ht="14.25">
      <c r="A48" s="35" t="s">
        <v>266</v>
      </c>
      <c r="B48" s="83">
        <v>1023048035</v>
      </c>
      <c r="C48" s="83">
        <v>115644070</v>
      </c>
      <c r="D48" s="127">
        <f t="shared" si="5"/>
        <v>1138692105</v>
      </c>
      <c r="E48" s="83">
        <v>1138692105</v>
      </c>
      <c r="F48" s="83">
        <v>1138692105</v>
      </c>
      <c r="G48" s="85">
        <f t="shared" si="4"/>
        <v>115644070</v>
      </c>
    </row>
    <row r="49" spans="1:7" ht="28.5">
      <c r="A49" s="35" t="s">
        <v>267</v>
      </c>
      <c r="B49" s="83">
        <v>695402250</v>
      </c>
      <c r="C49" s="83">
        <v>423614</v>
      </c>
      <c r="D49" s="127">
        <f t="shared" si="5"/>
        <v>695825864</v>
      </c>
      <c r="E49" s="83">
        <v>695825864</v>
      </c>
      <c r="F49" s="83">
        <v>695825864</v>
      </c>
      <c r="G49" s="85">
        <f t="shared" si="4"/>
        <v>423614</v>
      </c>
    </row>
    <row r="50" spans="1:7" ht="14.25">
      <c r="A50" s="35" t="s">
        <v>268</v>
      </c>
      <c r="B50" s="83">
        <v>428585214</v>
      </c>
      <c r="C50" s="83">
        <v>84892344</v>
      </c>
      <c r="D50" s="127">
        <f t="shared" si="5"/>
        <v>513477558</v>
      </c>
      <c r="E50" s="83">
        <v>513477558</v>
      </c>
      <c r="F50" s="83">
        <v>513477558</v>
      </c>
      <c r="G50" s="85">
        <f t="shared" si="4"/>
        <v>84892344</v>
      </c>
    </row>
    <row r="51" spans="1:7" ht="14.25">
      <c r="A51" s="35" t="s">
        <v>269</v>
      </c>
      <c r="B51" s="83">
        <v>121139894</v>
      </c>
      <c r="C51" s="83">
        <v>4085599.11</v>
      </c>
      <c r="D51" s="127">
        <f t="shared" si="5"/>
        <v>125225493.11</v>
      </c>
      <c r="E51" s="83">
        <v>125225493.11</v>
      </c>
      <c r="F51" s="83">
        <v>125225493.11</v>
      </c>
      <c r="G51" s="85">
        <f t="shared" si="4"/>
        <v>4085599.1099999994</v>
      </c>
    </row>
    <row r="52" spans="1:7" ht="29.25" customHeight="1">
      <c r="A52" s="36" t="s">
        <v>270</v>
      </c>
      <c r="B52" s="83">
        <v>188952577</v>
      </c>
      <c r="C52" s="83">
        <v>7180198</v>
      </c>
      <c r="D52" s="127">
        <f t="shared" si="5"/>
        <v>196132775</v>
      </c>
      <c r="E52" s="83">
        <v>196132775</v>
      </c>
      <c r="F52" s="83">
        <v>196132775</v>
      </c>
      <c r="G52" s="85">
        <f t="shared" si="4"/>
        <v>7180198</v>
      </c>
    </row>
    <row r="53" spans="1:7" ht="27.75" customHeight="1">
      <c r="A53" s="35" t="s">
        <v>271</v>
      </c>
      <c r="B53" s="83">
        <v>264435735</v>
      </c>
      <c r="C53" s="83">
        <v>18729769</v>
      </c>
      <c r="D53" s="127">
        <f t="shared" si="5"/>
        <v>283165504</v>
      </c>
      <c r="E53" s="83">
        <v>283165504</v>
      </c>
      <c r="F53" s="83">
        <v>283165504</v>
      </c>
      <c r="G53" s="85">
        <f t="shared" si="4"/>
        <v>18729769</v>
      </c>
    </row>
    <row r="54" spans="1:7" ht="14.25">
      <c r="A54" s="113" t="s">
        <v>272</v>
      </c>
      <c r="B54" s="85">
        <v>1089529091</v>
      </c>
      <c r="C54" s="130">
        <f>SUM(C55:C58)</f>
        <v>1350393342.77</v>
      </c>
      <c r="D54" s="85">
        <f t="shared" si="5"/>
        <v>2439922433.77</v>
      </c>
      <c r="E54" s="85">
        <f>SUM(E55:E58)</f>
        <v>2439922433.77</v>
      </c>
      <c r="F54" s="85">
        <f>SUM(F55:F58)</f>
        <v>2439922433.77</v>
      </c>
      <c r="G54" s="85">
        <f t="shared" si="4"/>
        <v>1350393342.77</v>
      </c>
    </row>
    <row r="55" spans="1:7" ht="14.25">
      <c r="A55" s="36" t="s">
        <v>273</v>
      </c>
      <c r="B55" s="83">
        <v>0</v>
      </c>
      <c r="C55" s="83">
        <v>0</v>
      </c>
      <c r="D55" s="127">
        <f t="shared" si="5"/>
        <v>0</v>
      </c>
      <c r="E55" s="83">
        <v>0</v>
      </c>
      <c r="F55" s="83">
        <v>0</v>
      </c>
      <c r="G55" s="85">
        <f t="shared" si="4"/>
        <v>0</v>
      </c>
    </row>
    <row r="56" spans="1:7" ht="14.25">
      <c r="A56" s="35" t="s">
        <v>274</v>
      </c>
      <c r="B56" s="83">
        <v>1089529091</v>
      </c>
      <c r="C56" s="83">
        <v>1340360768.27</v>
      </c>
      <c r="D56" s="127">
        <f t="shared" si="5"/>
        <v>2429889859.27</v>
      </c>
      <c r="E56" s="83">
        <v>2429889859.27</v>
      </c>
      <c r="F56" s="83">
        <v>2429889859.27</v>
      </c>
      <c r="G56" s="85">
        <f t="shared" si="4"/>
        <v>1340360768.27</v>
      </c>
    </row>
    <row r="57" spans="1:7" ht="14.25">
      <c r="A57" s="35" t="s">
        <v>275</v>
      </c>
      <c r="B57" s="83">
        <v>0</v>
      </c>
      <c r="C57" s="83">
        <v>0</v>
      </c>
      <c r="D57" s="127">
        <f t="shared" si="5"/>
        <v>0</v>
      </c>
      <c r="E57" s="83">
        <v>0</v>
      </c>
      <c r="F57" s="83">
        <v>0</v>
      </c>
      <c r="G57" s="85">
        <f t="shared" si="4"/>
        <v>0</v>
      </c>
    </row>
    <row r="58" spans="1:7" ht="14.25">
      <c r="A58" s="36" t="s">
        <v>276</v>
      </c>
      <c r="B58" s="83">
        <v>0</v>
      </c>
      <c r="C58" s="83">
        <v>10032574.5</v>
      </c>
      <c r="D58" s="127">
        <f t="shared" si="5"/>
        <v>10032574.5</v>
      </c>
      <c r="E58" s="83">
        <v>10032574.5</v>
      </c>
      <c r="F58" s="83">
        <v>10032574.5</v>
      </c>
      <c r="G58" s="85">
        <f t="shared" si="4"/>
        <v>10032574.5</v>
      </c>
    </row>
    <row r="59" spans="1:7" ht="14.25">
      <c r="A59" s="113" t="s">
        <v>277</v>
      </c>
      <c r="B59" s="85">
        <f>SUM(B60:B61)</f>
        <v>488859820</v>
      </c>
      <c r="C59" s="85">
        <f>SUM(C60:C61)</f>
        <v>-10799029</v>
      </c>
      <c r="D59" s="85">
        <f>SUM(D60:D61)</f>
        <v>478060791</v>
      </c>
      <c r="E59" s="85">
        <f>SUM(E60:E61)</f>
        <v>478060791</v>
      </c>
      <c r="F59" s="85">
        <f>+F60+F61</f>
        <v>478060791</v>
      </c>
      <c r="G59" s="85">
        <f t="shared" si="4"/>
        <v>-10799029</v>
      </c>
    </row>
    <row r="60" spans="1:7" ht="28.5">
      <c r="A60" s="35" t="s">
        <v>278</v>
      </c>
      <c r="B60" s="83">
        <v>488859820</v>
      </c>
      <c r="C60" s="83">
        <v>-10799029</v>
      </c>
      <c r="D60" s="83">
        <f>+B60+C60</f>
        <v>478060791</v>
      </c>
      <c r="E60" s="83">
        <v>478060791</v>
      </c>
      <c r="F60" s="83">
        <v>478060791</v>
      </c>
      <c r="G60" s="85">
        <f t="shared" si="4"/>
        <v>-10799029</v>
      </c>
    </row>
    <row r="61" spans="1:7" ht="14.25">
      <c r="A61" s="35" t="s">
        <v>279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5">
        <f t="shared" si="4"/>
        <v>0</v>
      </c>
    </row>
    <row r="62" spans="1:7" ht="14.25">
      <c r="A62" s="113" t="s">
        <v>280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f t="shared" si="4"/>
        <v>0</v>
      </c>
    </row>
    <row r="63" spans="1:7" ht="14.25">
      <c r="A63" s="113" t="s">
        <v>281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 t="shared" si="4"/>
        <v>0</v>
      </c>
    </row>
    <row r="64" spans="1:7" ht="14.25">
      <c r="A64" s="33"/>
      <c r="B64" s="84"/>
      <c r="C64" s="84">
        <v>0</v>
      </c>
      <c r="D64" s="84"/>
      <c r="E64" s="84"/>
      <c r="F64" s="84"/>
      <c r="G64" s="85"/>
    </row>
    <row r="65" spans="1:7" ht="14.25">
      <c r="A65" s="22" t="s">
        <v>282</v>
      </c>
      <c r="B65" s="85">
        <f>B45+B54+B59+B62+B63</f>
        <v>11042353021</v>
      </c>
      <c r="C65" s="130">
        <f>C45+C54+C59+C62+C63</f>
        <v>1866833132.3</v>
      </c>
      <c r="D65" s="85">
        <f>D45+D54+D59+D62+D63</f>
        <v>12909186153.300001</v>
      </c>
      <c r="E65" s="85">
        <f>E45+E54+E59+E62+E63</f>
        <v>12909186153.300001</v>
      </c>
      <c r="F65" s="85">
        <f>F45+F54+F59+F62+F63</f>
        <v>12909186153.300001</v>
      </c>
      <c r="G65" s="85">
        <f>+F65-B65</f>
        <v>1866833132.3000011</v>
      </c>
    </row>
    <row r="66" spans="1:7" ht="14.25">
      <c r="A66" s="33"/>
      <c r="B66" s="84"/>
      <c r="C66" s="84"/>
      <c r="D66" s="84"/>
      <c r="E66" s="84"/>
      <c r="F66" s="84"/>
      <c r="G66" s="85"/>
    </row>
    <row r="67" spans="1:7" ht="14.25">
      <c r="A67" s="22" t="s">
        <v>283</v>
      </c>
      <c r="B67" s="85">
        <f>B68</f>
        <v>0</v>
      </c>
      <c r="C67" s="85">
        <f>C68</f>
        <v>0</v>
      </c>
      <c r="D67" s="85">
        <f>D68</f>
        <v>0</v>
      </c>
      <c r="E67" s="85">
        <f>E68</f>
        <v>0</v>
      </c>
      <c r="F67" s="85">
        <f>F68</f>
        <v>0</v>
      </c>
      <c r="G67" s="85">
        <f t="shared" si="4"/>
        <v>0</v>
      </c>
    </row>
    <row r="68" spans="1:7" ht="14.25">
      <c r="A68" s="19" t="s">
        <v>284</v>
      </c>
      <c r="B68" s="83">
        <v>0</v>
      </c>
      <c r="C68" s="83">
        <v>0</v>
      </c>
      <c r="D68" s="83">
        <f>+B68+C68</f>
        <v>0</v>
      </c>
      <c r="E68" s="83">
        <v>0</v>
      </c>
      <c r="F68" s="83">
        <v>0</v>
      </c>
      <c r="G68" s="85">
        <f t="shared" si="4"/>
        <v>0</v>
      </c>
    </row>
    <row r="69" spans="1:7" ht="14.25">
      <c r="A69" s="33"/>
      <c r="B69" s="84"/>
      <c r="C69" s="84"/>
      <c r="D69" s="84"/>
      <c r="E69" s="84"/>
      <c r="F69" s="84"/>
      <c r="G69" s="85"/>
    </row>
    <row r="70" spans="1:7" ht="14.25">
      <c r="A70" s="22" t="s">
        <v>285</v>
      </c>
      <c r="B70" s="85">
        <f>B41+B65+B67</f>
        <v>22349942786</v>
      </c>
      <c r="C70" s="85">
        <f>C41+C65+C67</f>
        <v>2400309011.95</v>
      </c>
      <c r="D70" s="85">
        <f>D41+D65+D67</f>
        <v>24750251797.95</v>
      </c>
      <c r="E70" s="85">
        <f>E41+E65+E67</f>
        <v>24750251797.95</v>
      </c>
      <c r="F70" s="85">
        <f>F41+F65+F67</f>
        <v>24750147880.95</v>
      </c>
      <c r="G70" s="85">
        <f t="shared" si="4"/>
        <v>2400205094.950001</v>
      </c>
    </row>
    <row r="71" spans="1:7" ht="14.25">
      <c r="A71" s="33"/>
      <c r="B71" s="84"/>
      <c r="C71" s="84"/>
      <c r="D71" s="84"/>
      <c r="E71" s="84"/>
      <c r="F71" s="84"/>
      <c r="G71" s="85">
        <f t="shared" si="4"/>
        <v>0</v>
      </c>
    </row>
    <row r="72" spans="1:7" ht="14.25">
      <c r="A72" s="22" t="s">
        <v>286</v>
      </c>
      <c r="B72" s="84"/>
      <c r="C72" s="84"/>
      <c r="D72" s="84"/>
      <c r="E72" s="84"/>
      <c r="F72" s="84"/>
      <c r="G72" s="85">
        <f t="shared" si="4"/>
        <v>0</v>
      </c>
    </row>
    <row r="73" spans="1:7" ht="28.5">
      <c r="A73" s="42" t="s">
        <v>287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5">
        <f t="shared" si="4"/>
        <v>0</v>
      </c>
    </row>
    <row r="74" spans="1:7" ht="28.5">
      <c r="A74" s="42" t="s">
        <v>288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5">
        <f t="shared" si="4"/>
        <v>0</v>
      </c>
    </row>
    <row r="75" spans="1:7" ht="14.25">
      <c r="A75" s="43" t="s">
        <v>289</v>
      </c>
      <c r="B75" s="85">
        <f>B73+B74</f>
        <v>0</v>
      </c>
      <c r="C75" s="85">
        <f>C73+C74</f>
        <v>0</v>
      </c>
      <c r="D75" s="85">
        <f>D73+D74</f>
        <v>0</v>
      </c>
      <c r="E75" s="85">
        <f>E73+E74</f>
        <v>0</v>
      </c>
      <c r="F75" s="85">
        <f>F73+F74</f>
        <v>0</v>
      </c>
      <c r="G75" s="85">
        <f t="shared" si="4"/>
        <v>0</v>
      </c>
    </row>
    <row r="76" spans="1:7" ht="14.25">
      <c r="A76" s="34"/>
      <c r="B76" s="41"/>
      <c r="C76" s="41"/>
      <c r="D76" s="41"/>
      <c r="E76" s="41"/>
      <c r="F76" s="41"/>
      <c r="G76" s="140"/>
    </row>
    <row r="77" ht="14.2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B9:F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41:C41 B65 B67:F67 B70:C70 B75:F75 G35:G36 G38:G39 G41:G42 D68 G9:G15 G17:G27 G29:G33 D65:G65 D41:E41 F41 F59 G47:G54 G55:G64 G68:G76 E70:F70 D70 D45 D46:D53 D55:D58 G66:G67" unlockedFormula="1"/>
    <ignoredError sqref="G40 G37 G34 G28 G16 D54 D60 E45:F45 E54:F54 C59 F16 F28 B28:C28 B59 E59 D28 D59" formula="1" unlockedFormula="1"/>
    <ignoredError sqref="C54 E16 E28" formulaRange="1"/>
    <ignoredError sqref="D35 D16" formula="1"/>
    <ignoredError sqref="E45:F45 E54:F54 C59 F16 F28 B28:C28 B59 E59" formulaRange="1" unlockedFormula="1"/>
    <ignoredError sqref="D28" formula="1" formulaRange="1"/>
    <ignoredError sqref="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70" zoomScaleNormal="70" zoomScalePageLayoutView="0" workbookViewId="0" topLeftCell="A1">
      <pane xSplit="1" topLeftCell="B1" activePane="topRight" state="frozen"/>
      <selection pane="topLeft" activeCell="A22" sqref="A22"/>
      <selection pane="topRight" activeCell="D97" sqref="D97"/>
    </sheetView>
  </sheetViews>
  <sheetFormatPr defaultColWidth="0.9921875" defaultRowHeight="15" zeroHeight="1"/>
  <cols>
    <col min="1" max="1" width="99.28125" style="0" customWidth="1"/>
    <col min="2" max="2" width="19.421875" style="0" customWidth="1"/>
    <col min="3" max="3" width="18.8515625" style="0" customWidth="1"/>
    <col min="4" max="4" width="19.28125" style="0" customWidth="1"/>
    <col min="5" max="5" width="19.140625" style="0" customWidth="1"/>
    <col min="6" max="6" width="19.28125" style="0" customWidth="1"/>
    <col min="7" max="7" width="17.57421875" style="0" customWidth="1"/>
    <col min="8" max="255" width="11.421875" style="0" hidden="1" customWidth="1"/>
  </cols>
  <sheetData>
    <row r="1" spans="1:7" ht="21">
      <c r="A1" s="164" t="s">
        <v>291</v>
      </c>
      <c r="B1" s="161"/>
      <c r="C1" s="161"/>
      <c r="D1" s="161"/>
      <c r="E1" s="161"/>
      <c r="F1" s="161"/>
      <c r="G1" s="161"/>
    </row>
    <row r="2" spans="1:7" ht="14.25">
      <c r="A2" s="165" t="s">
        <v>290</v>
      </c>
      <c r="B2" s="165"/>
      <c r="C2" s="165"/>
      <c r="D2" s="165"/>
      <c r="E2" s="165"/>
      <c r="F2" s="165"/>
      <c r="G2" s="165"/>
    </row>
    <row r="3" spans="1:7" ht="14.25">
      <c r="A3" s="166" t="s">
        <v>292</v>
      </c>
      <c r="B3" s="166"/>
      <c r="C3" s="166"/>
      <c r="D3" s="166"/>
      <c r="E3" s="166"/>
      <c r="F3" s="166"/>
      <c r="G3" s="166"/>
    </row>
    <row r="4" spans="1:7" ht="14.25">
      <c r="A4" s="166" t="s">
        <v>293</v>
      </c>
      <c r="B4" s="166"/>
      <c r="C4" s="166"/>
      <c r="D4" s="166"/>
      <c r="E4" s="166"/>
      <c r="F4" s="166"/>
      <c r="G4" s="166"/>
    </row>
    <row r="5" spans="1:7" ht="14.25">
      <c r="A5" s="148" t="s">
        <v>479</v>
      </c>
      <c r="B5" s="149"/>
      <c r="C5" s="149"/>
      <c r="D5" s="149"/>
      <c r="E5" s="149"/>
      <c r="F5" s="149"/>
      <c r="G5" s="150"/>
    </row>
    <row r="6" spans="1:7" ht="14.25">
      <c r="A6" s="159" t="s">
        <v>2</v>
      </c>
      <c r="B6" s="159"/>
      <c r="C6" s="159"/>
      <c r="D6" s="159"/>
      <c r="E6" s="159"/>
      <c r="F6" s="159"/>
      <c r="G6" s="159"/>
    </row>
    <row r="7" spans="1:7" ht="14.25">
      <c r="A7" s="162" t="s">
        <v>4</v>
      </c>
      <c r="B7" s="162" t="s">
        <v>294</v>
      </c>
      <c r="C7" s="162"/>
      <c r="D7" s="162"/>
      <c r="E7" s="162"/>
      <c r="F7" s="162"/>
      <c r="G7" s="163" t="s">
        <v>295</v>
      </c>
    </row>
    <row r="8" spans="1:7" ht="28.5">
      <c r="A8" s="162"/>
      <c r="B8" s="6" t="s">
        <v>296</v>
      </c>
      <c r="C8" s="6" t="s">
        <v>297</v>
      </c>
      <c r="D8" s="6" t="s">
        <v>298</v>
      </c>
      <c r="E8" s="6" t="s">
        <v>182</v>
      </c>
      <c r="F8" s="6" t="s">
        <v>299</v>
      </c>
      <c r="G8" s="162"/>
    </row>
    <row r="9" spans="1:7" ht="14.25">
      <c r="A9" s="18" t="s">
        <v>300</v>
      </c>
      <c r="B9" s="85">
        <f aca="true" t="shared" si="0" ref="B9:G9">SUM(B10,B18,B28,B38,B48,B58,B62,B70,B74)</f>
        <v>11307589765</v>
      </c>
      <c r="C9" s="85">
        <f>SUM(C10,C18,C28,C38,C48,C58,C62,C70,C74)</f>
        <v>115233827.97</v>
      </c>
      <c r="D9" s="85">
        <f>SUM(D10,D18,D28,D38,D48,D58,D62,D70,D74)</f>
        <v>11422823592.97</v>
      </c>
      <c r="E9" s="85">
        <f t="shared" si="0"/>
        <v>10629052877.920002</v>
      </c>
      <c r="F9" s="85">
        <f t="shared" si="0"/>
        <v>10561499109.76</v>
      </c>
      <c r="G9" s="85">
        <f t="shared" si="0"/>
        <v>793770715.0500002</v>
      </c>
    </row>
    <row r="10" spans="1:7" ht="14.25">
      <c r="A10" s="19" t="s">
        <v>301</v>
      </c>
      <c r="B10" s="83">
        <f aca="true" t="shared" si="1" ref="B10:G10">SUM(B11:B17)</f>
        <v>2303008432</v>
      </c>
      <c r="C10" s="131">
        <f>SUM(C11:C17)</f>
        <v>-25163386.02</v>
      </c>
      <c r="D10" s="83">
        <f t="shared" si="1"/>
        <v>2277845045.9799995</v>
      </c>
      <c r="E10" s="83">
        <f t="shared" si="1"/>
        <v>2189555925.13</v>
      </c>
      <c r="F10" s="131">
        <f t="shared" si="1"/>
        <v>2189555925.13</v>
      </c>
      <c r="G10" s="83">
        <f t="shared" si="1"/>
        <v>88289120.84999996</v>
      </c>
    </row>
    <row r="11" spans="1:7" ht="14.25">
      <c r="A11" s="20" t="s">
        <v>302</v>
      </c>
      <c r="B11" s="83">
        <v>1140008315</v>
      </c>
      <c r="C11" s="83">
        <v>-10347890.51</v>
      </c>
      <c r="D11" s="83">
        <v>1129660424.49</v>
      </c>
      <c r="E11" s="83">
        <v>1106987474.48</v>
      </c>
      <c r="F11" s="83">
        <v>1106987474.48</v>
      </c>
      <c r="G11" s="83">
        <f aca="true" t="shared" si="2" ref="G11:G17">D11-E11</f>
        <v>22672950.00999999</v>
      </c>
    </row>
    <row r="12" spans="1:7" ht="14.25">
      <c r="A12" s="20" t="s">
        <v>303</v>
      </c>
      <c r="B12" s="83">
        <v>69219841</v>
      </c>
      <c r="C12" s="83">
        <v>-2602065.63</v>
      </c>
      <c r="D12" s="83">
        <v>66617775.37</v>
      </c>
      <c r="E12" s="83">
        <v>60905170.05</v>
      </c>
      <c r="F12" s="83">
        <v>60905170.05</v>
      </c>
      <c r="G12" s="83">
        <f>D12-E12</f>
        <v>5712605.32</v>
      </c>
    </row>
    <row r="13" spans="1:7" ht="14.25">
      <c r="A13" s="20" t="s">
        <v>304</v>
      </c>
      <c r="B13" s="83">
        <v>544951706</v>
      </c>
      <c r="C13" s="83">
        <v>-18035092.52</v>
      </c>
      <c r="D13" s="83">
        <v>526916613.48</v>
      </c>
      <c r="E13" s="83">
        <v>514891516.18</v>
      </c>
      <c r="F13" s="83">
        <v>514891516.18</v>
      </c>
      <c r="G13" s="83">
        <f t="shared" si="2"/>
        <v>12025097.300000012</v>
      </c>
    </row>
    <row r="14" spans="1:7" ht="14.25">
      <c r="A14" s="20" t="s">
        <v>305</v>
      </c>
      <c r="B14" s="83">
        <v>543487249</v>
      </c>
      <c r="C14" s="83">
        <v>-24530871.98</v>
      </c>
      <c r="D14" s="83">
        <v>518956377.02</v>
      </c>
      <c r="E14" s="83">
        <v>476419229.8</v>
      </c>
      <c r="F14" s="83">
        <v>476419229.8</v>
      </c>
      <c r="G14" s="83">
        <f t="shared" si="2"/>
        <v>42537147.21999997</v>
      </c>
    </row>
    <row r="15" spans="1:7" ht="14.25">
      <c r="A15" s="20" t="s">
        <v>306</v>
      </c>
      <c r="B15" s="83">
        <v>0</v>
      </c>
      <c r="C15" s="83">
        <v>30352534.62</v>
      </c>
      <c r="D15" s="83">
        <v>30352534.62</v>
      </c>
      <c r="E15" s="83">
        <v>30352534.62</v>
      </c>
      <c r="F15" s="83">
        <v>30352534.62</v>
      </c>
      <c r="G15" s="83">
        <f t="shared" si="2"/>
        <v>0</v>
      </c>
    </row>
    <row r="16" spans="1:7" ht="14.25">
      <c r="A16" s="20" t="s">
        <v>307</v>
      </c>
      <c r="B16" s="83">
        <v>5341321</v>
      </c>
      <c r="C16" s="83">
        <v>0</v>
      </c>
      <c r="D16" s="83">
        <v>5341321</v>
      </c>
      <c r="E16" s="83">
        <v>0</v>
      </c>
      <c r="F16" s="83">
        <v>0</v>
      </c>
      <c r="G16" s="83">
        <f t="shared" si="2"/>
        <v>5341321</v>
      </c>
    </row>
    <row r="17" spans="1:7" ht="14.25">
      <c r="A17" s="20" t="s">
        <v>308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2"/>
        <v>0</v>
      </c>
    </row>
    <row r="18" spans="1:7" ht="14.25">
      <c r="A18" s="19" t="s">
        <v>309</v>
      </c>
      <c r="B18" s="83">
        <f aca="true" t="shared" si="3" ref="B18:G18">SUM(B19:B27)</f>
        <v>500393932</v>
      </c>
      <c r="C18" s="83">
        <f t="shared" si="3"/>
        <v>-169253700.95</v>
      </c>
      <c r="D18" s="83">
        <f t="shared" si="3"/>
        <v>331140231.0500001</v>
      </c>
      <c r="E18" s="83">
        <f t="shared" si="3"/>
        <v>282784737.93999994</v>
      </c>
      <c r="F18" s="83">
        <f t="shared" si="3"/>
        <v>282763938.11999995</v>
      </c>
      <c r="G18" s="83">
        <f t="shared" si="3"/>
        <v>48355493.110000014</v>
      </c>
    </row>
    <row r="19" spans="1:7" ht="14.25">
      <c r="A19" s="20" t="s">
        <v>310</v>
      </c>
      <c r="B19" s="83">
        <v>165024083</v>
      </c>
      <c r="C19" s="83">
        <v>-65349404.63</v>
      </c>
      <c r="D19" s="83">
        <v>99674678.37</v>
      </c>
      <c r="E19" s="83">
        <v>87383216.44</v>
      </c>
      <c r="F19" s="83">
        <v>87383216.44</v>
      </c>
      <c r="G19" s="83">
        <f>D19-E19</f>
        <v>12291461.930000007</v>
      </c>
    </row>
    <row r="20" spans="1:7" ht="14.25">
      <c r="A20" s="20" t="s">
        <v>311</v>
      </c>
      <c r="B20" s="83">
        <v>72526512</v>
      </c>
      <c r="C20" s="83">
        <v>-22820695.07</v>
      </c>
      <c r="D20" s="83">
        <v>49705816.93</v>
      </c>
      <c r="E20" s="83">
        <v>48885322.91</v>
      </c>
      <c r="F20" s="83">
        <v>48885322.91</v>
      </c>
      <c r="G20" s="83">
        <f aca="true" t="shared" si="4" ref="G20:G27">D20-E20</f>
        <v>820494.0200000033</v>
      </c>
    </row>
    <row r="21" spans="1:7" ht="14.25">
      <c r="A21" s="20" t="s">
        <v>312</v>
      </c>
      <c r="B21" s="83">
        <v>6475</v>
      </c>
      <c r="C21" s="83">
        <v>2168223.4</v>
      </c>
      <c r="D21" s="83">
        <v>2174698.4</v>
      </c>
      <c r="E21" s="83">
        <v>1619639.44</v>
      </c>
      <c r="F21" s="83">
        <v>1619639.44</v>
      </c>
      <c r="G21" s="83">
        <f t="shared" si="4"/>
        <v>555058.96</v>
      </c>
    </row>
    <row r="22" spans="1:7" ht="14.25">
      <c r="A22" s="20" t="s">
        <v>313</v>
      </c>
      <c r="B22" s="83">
        <v>9520468</v>
      </c>
      <c r="C22" s="83">
        <v>-4158.2</v>
      </c>
      <c r="D22" s="83">
        <v>9516309.8</v>
      </c>
      <c r="E22" s="83">
        <v>5263254.14</v>
      </c>
      <c r="F22" s="83">
        <v>5263254.14</v>
      </c>
      <c r="G22" s="83">
        <f t="shared" si="4"/>
        <v>4253055.660000001</v>
      </c>
    </row>
    <row r="23" spans="1:7" ht="14.25">
      <c r="A23" s="20" t="s">
        <v>314</v>
      </c>
      <c r="B23" s="83">
        <v>72999890</v>
      </c>
      <c r="C23" s="83">
        <v>-36362600.56</v>
      </c>
      <c r="D23" s="83">
        <v>36637289.44</v>
      </c>
      <c r="E23" s="83">
        <v>36521224.77</v>
      </c>
      <c r="F23" s="83">
        <v>36521224.77</v>
      </c>
      <c r="G23" s="83">
        <f t="shared" si="4"/>
        <v>116064.66999999434</v>
      </c>
    </row>
    <row r="24" spans="1:7" ht="14.25">
      <c r="A24" s="20" t="s">
        <v>315</v>
      </c>
      <c r="B24" s="83">
        <v>148428571</v>
      </c>
      <c r="C24" s="83">
        <v>-51265252.3</v>
      </c>
      <c r="D24" s="83">
        <v>97163318.7</v>
      </c>
      <c r="E24" s="83">
        <v>70568602.96</v>
      </c>
      <c r="F24" s="83">
        <v>70568602.96</v>
      </c>
      <c r="G24" s="83">
        <f t="shared" si="4"/>
        <v>26594715.74000001</v>
      </c>
    </row>
    <row r="25" spans="1:7" ht="14.25">
      <c r="A25" s="20" t="s">
        <v>316</v>
      </c>
      <c r="B25" s="83">
        <v>12685683</v>
      </c>
      <c r="C25" s="83">
        <v>-634274.67</v>
      </c>
      <c r="D25" s="83">
        <v>12051408.33</v>
      </c>
      <c r="E25" s="83">
        <v>9766049.71</v>
      </c>
      <c r="F25" s="83">
        <v>9745249.89</v>
      </c>
      <c r="G25" s="83">
        <f t="shared" si="4"/>
        <v>2285358.619999999</v>
      </c>
    </row>
    <row r="26" spans="1:7" ht="14.25">
      <c r="A26" s="20" t="s">
        <v>317</v>
      </c>
      <c r="B26" s="83">
        <v>812690</v>
      </c>
      <c r="C26" s="83">
        <v>2357529.36</v>
      </c>
      <c r="D26" s="83">
        <v>3170219.36</v>
      </c>
      <c r="E26" s="83">
        <v>2805862.76</v>
      </c>
      <c r="F26" s="83">
        <v>2805862.76</v>
      </c>
      <c r="G26" s="83">
        <f t="shared" si="4"/>
        <v>364356.6000000001</v>
      </c>
    </row>
    <row r="27" spans="1:7" ht="14.25">
      <c r="A27" s="20" t="s">
        <v>318</v>
      </c>
      <c r="B27" s="83">
        <v>18389560</v>
      </c>
      <c r="C27" s="83">
        <v>2656931.72</v>
      </c>
      <c r="D27" s="83">
        <v>21046491.72</v>
      </c>
      <c r="E27" s="83">
        <v>19971564.81</v>
      </c>
      <c r="F27" s="83">
        <v>19971564.81</v>
      </c>
      <c r="G27" s="83">
        <f t="shared" si="4"/>
        <v>1074926.9100000001</v>
      </c>
    </row>
    <row r="28" spans="1:7" ht="14.25">
      <c r="A28" s="19" t="s">
        <v>319</v>
      </c>
      <c r="B28" s="83">
        <f aca="true" t="shared" si="5" ref="B28:G28">SUM(B29:B37)</f>
        <v>864772418</v>
      </c>
      <c r="C28" s="83">
        <f t="shared" si="5"/>
        <v>-130196283.99000001</v>
      </c>
      <c r="D28" s="83">
        <f t="shared" si="5"/>
        <v>734576134.0100001</v>
      </c>
      <c r="E28" s="83">
        <f t="shared" si="5"/>
        <v>628130944.99</v>
      </c>
      <c r="F28" s="83">
        <f t="shared" si="5"/>
        <v>615304750.3</v>
      </c>
      <c r="G28" s="83">
        <f t="shared" si="5"/>
        <v>106445189.02000001</v>
      </c>
    </row>
    <row r="29" spans="1:7" ht="14.25">
      <c r="A29" s="20" t="s">
        <v>320</v>
      </c>
      <c r="B29" s="83">
        <v>66653529</v>
      </c>
      <c r="C29" s="83">
        <v>4264157.73</v>
      </c>
      <c r="D29" s="83">
        <v>70917686.73</v>
      </c>
      <c r="E29" s="83">
        <v>64307675.56</v>
      </c>
      <c r="F29" s="83">
        <v>64307675.56</v>
      </c>
      <c r="G29" s="83">
        <f>D29-E29</f>
        <v>6610011.170000002</v>
      </c>
    </row>
    <row r="30" spans="1:7" ht="14.25">
      <c r="A30" s="20" t="s">
        <v>321</v>
      </c>
      <c r="B30" s="83">
        <v>125579607</v>
      </c>
      <c r="C30" s="83">
        <v>-40539835.6</v>
      </c>
      <c r="D30" s="83">
        <v>85039771.4</v>
      </c>
      <c r="E30" s="83">
        <v>78681054.34</v>
      </c>
      <c r="F30" s="83">
        <v>78477760.32</v>
      </c>
      <c r="G30" s="83">
        <f aca="true" t="shared" si="6" ref="G30:G37">D30-E30</f>
        <v>6358717.060000002</v>
      </c>
    </row>
    <row r="31" spans="1:7" ht="14.25">
      <c r="A31" s="20" t="s">
        <v>322</v>
      </c>
      <c r="B31" s="83">
        <v>171908044</v>
      </c>
      <c r="C31" s="83">
        <v>-5512352.91</v>
      </c>
      <c r="D31" s="83">
        <v>166395691.09</v>
      </c>
      <c r="E31" s="83">
        <v>155076561.5</v>
      </c>
      <c r="F31" s="83">
        <v>153336561.5</v>
      </c>
      <c r="G31" s="83">
        <f t="shared" si="6"/>
        <v>11319129.590000004</v>
      </c>
    </row>
    <row r="32" spans="1:7" ht="14.25">
      <c r="A32" s="20" t="s">
        <v>323</v>
      </c>
      <c r="B32" s="83">
        <v>70211633</v>
      </c>
      <c r="C32" s="83">
        <v>-2848861.67</v>
      </c>
      <c r="D32" s="83">
        <v>67362771.33</v>
      </c>
      <c r="E32" s="83">
        <v>51704848.53</v>
      </c>
      <c r="F32" s="83">
        <v>51704848.53</v>
      </c>
      <c r="G32" s="83">
        <f t="shared" si="6"/>
        <v>15657922.799999997</v>
      </c>
    </row>
    <row r="33" spans="1:7" ht="14.25">
      <c r="A33" s="20" t="s">
        <v>324</v>
      </c>
      <c r="B33" s="83">
        <v>125030186</v>
      </c>
      <c r="C33" s="83">
        <v>-33244653.54</v>
      </c>
      <c r="D33" s="83">
        <v>91785532.46</v>
      </c>
      <c r="E33" s="83">
        <v>32563245.38</v>
      </c>
      <c r="F33" s="83">
        <v>32549887.9</v>
      </c>
      <c r="G33" s="83">
        <f t="shared" si="6"/>
        <v>59222287.08</v>
      </c>
    </row>
    <row r="34" spans="1:7" ht="14.25">
      <c r="A34" s="20" t="s">
        <v>325</v>
      </c>
      <c r="B34" s="83">
        <v>93411959</v>
      </c>
      <c r="C34" s="83">
        <v>12472548.72</v>
      </c>
      <c r="D34" s="83">
        <v>105884507.72</v>
      </c>
      <c r="E34" s="83">
        <v>105462972.67</v>
      </c>
      <c r="F34" s="83">
        <v>105462972.67</v>
      </c>
      <c r="G34" s="83">
        <f t="shared" si="6"/>
        <v>421535.049999997</v>
      </c>
    </row>
    <row r="35" spans="1:7" ht="14.25">
      <c r="A35" s="20" t="s">
        <v>326</v>
      </c>
      <c r="B35" s="83">
        <v>17350403</v>
      </c>
      <c r="C35" s="83">
        <v>-1541971.68</v>
      </c>
      <c r="D35" s="83">
        <v>15808431.32</v>
      </c>
      <c r="E35" s="83">
        <v>14025758.43</v>
      </c>
      <c r="F35" s="83">
        <v>14025758.43</v>
      </c>
      <c r="G35" s="83">
        <f t="shared" si="6"/>
        <v>1782672.8900000006</v>
      </c>
    </row>
    <row r="36" spans="1:7" ht="14.25">
      <c r="A36" s="20" t="s">
        <v>327</v>
      </c>
      <c r="B36" s="83">
        <v>63996768</v>
      </c>
      <c r="C36" s="83">
        <v>-30933697.54</v>
      </c>
      <c r="D36" s="83">
        <v>33063070.46</v>
      </c>
      <c r="E36" s="83">
        <v>31677406.87</v>
      </c>
      <c r="F36" s="83">
        <v>31677406.87</v>
      </c>
      <c r="G36" s="83">
        <f t="shared" si="6"/>
        <v>1385663.5899999999</v>
      </c>
    </row>
    <row r="37" spans="1:7" ht="14.25">
      <c r="A37" s="20" t="s">
        <v>328</v>
      </c>
      <c r="B37" s="83">
        <v>130630289</v>
      </c>
      <c r="C37" s="83">
        <v>-32311617.5</v>
      </c>
      <c r="D37" s="83">
        <v>98318671.5</v>
      </c>
      <c r="E37" s="83">
        <v>94631421.71</v>
      </c>
      <c r="F37" s="83">
        <v>83761878.52</v>
      </c>
      <c r="G37" s="83">
        <f t="shared" si="6"/>
        <v>3687249.7900000066</v>
      </c>
    </row>
    <row r="38" spans="1:7" ht="14.25">
      <c r="A38" s="19" t="s">
        <v>329</v>
      </c>
      <c r="B38" s="83">
        <f aca="true" t="shared" si="7" ref="B38:G38">SUM(B39:B47)</f>
        <v>4104301129</v>
      </c>
      <c r="C38" s="83">
        <f t="shared" si="7"/>
        <v>198046154.19000003</v>
      </c>
      <c r="D38" s="83">
        <f t="shared" si="7"/>
        <v>4302347283.190001</v>
      </c>
      <c r="E38" s="83">
        <f t="shared" si="7"/>
        <v>4095481689.56</v>
      </c>
      <c r="F38" s="83">
        <f t="shared" si="7"/>
        <v>4093520874.7499995</v>
      </c>
      <c r="G38" s="83">
        <f t="shared" si="7"/>
        <v>206865593.63000017</v>
      </c>
    </row>
    <row r="39" spans="1:7" ht="14.25">
      <c r="A39" s="20" t="s">
        <v>330</v>
      </c>
      <c r="B39" s="83">
        <v>896925990</v>
      </c>
      <c r="C39" s="83">
        <v>42974988.15</v>
      </c>
      <c r="D39" s="83">
        <v>939900978.15</v>
      </c>
      <c r="E39" s="83">
        <v>937794894.93</v>
      </c>
      <c r="F39" s="83">
        <v>937794894.93</v>
      </c>
      <c r="G39" s="83">
        <f>D39-E39</f>
        <v>2106083.2200000286</v>
      </c>
    </row>
    <row r="40" spans="1:7" ht="14.25">
      <c r="A40" s="20" t="s">
        <v>331</v>
      </c>
      <c r="B40" s="83">
        <v>2700654341</v>
      </c>
      <c r="C40" s="83">
        <v>191304261.02</v>
      </c>
      <c r="D40" s="83">
        <v>2891958602.02</v>
      </c>
      <c r="E40" s="83">
        <v>2728497228.91</v>
      </c>
      <c r="F40" s="83">
        <v>2726536414.1</v>
      </c>
      <c r="G40" s="83">
        <f aca="true" t="shared" si="8" ref="G40:G47">D40-E40</f>
        <v>163461373.11000013</v>
      </c>
    </row>
    <row r="41" spans="1:7" ht="14.25">
      <c r="A41" s="20" t="s">
        <v>332</v>
      </c>
      <c r="B41" s="83">
        <v>72000000</v>
      </c>
      <c r="C41" s="83">
        <v>-9524000</v>
      </c>
      <c r="D41" s="83">
        <v>62476000</v>
      </c>
      <c r="E41" s="83">
        <v>47319521.16</v>
      </c>
      <c r="F41" s="83">
        <v>47319521.16</v>
      </c>
      <c r="G41" s="83">
        <f t="shared" si="8"/>
        <v>15156478.840000004</v>
      </c>
    </row>
    <row r="42" spans="1:7" ht="14.25">
      <c r="A42" s="20" t="s">
        <v>333</v>
      </c>
      <c r="B42" s="83">
        <v>386561258</v>
      </c>
      <c r="C42" s="83">
        <v>-56462874.04</v>
      </c>
      <c r="D42" s="83">
        <v>330098383.96</v>
      </c>
      <c r="E42" s="83">
        <v>319337885.03</v>
      </c>
      <c r="F42" s="83">
        <v>319337885.03</v>
      </c>
      <c r="G42" s="83">
        <f t="shared" si="8"/>
        <v>10760498.930000007</v>
      </c>
    </row>
    <row r="43" spans="1:7" ht="14.25">
      <c r="A43" s="20" t="s">
        <v>334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f t="shared" si="8"/>
        <v>0</v>
      </c>
    </row>
    <row r="44" spans="1:7" ht="14.25">
      <c r="A44" s="20" t="s">
        <v>335</v>
      </c>
      <c r="B44" s="83">
        <v>47151000</v>
      </c>
      <c r="C44" s="83">
        <v>30762319.06</v>
      </c>
      <c r="D44" s="83">
        <v>77913319.06</v>
      </c>
      <c r="E44" s="83">
        <v>62532159.53</v>
      </c>
      <c r="F44" s="83">
        <v>62532159.53</v>
      </c>
      <c r="G44" s="83">
        <f t="shared" si="8"/>
        <v>15381159.530000001</v>
      </c>
    </row>
    <row r="45" spans="1:7" ht="14.25">
      <c r="A45" s="20" t="s">
        <v>336</v>
      </c>
      <c r="B45" s="83">
        <v>1008540</v>
      </c>
      <c r="C45" s="83">
        <v>-1008540</v>
      </c>
      <c r="D45" s="83">
        <v>0</v>
      </c>
      <c r="E45" s="83">
        <v>0</v>
      </c>
      <c r="F45" s="83">
        <v>0</v>
      </c>
      <c r="G45" s="83">
        <f t="shared" si="8"/>
        <v>0</v>
      </c>
    </row>
    <row r="46" spans="1:7" ht="14.25">
      <c r="A46" s="20" t="s">
        <v>337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8"/>
        <v>0</v>
      </c>
    </row>
    <row r="47" spans="1:7" ht="14.25">
      <c r="A47" s="20" t="s">
        <v>338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f t="shared" si="8"/>
        <v>0</v>
      </c>
    </row>
    <row r="48" spans="1:7" ht="14.25">
      <c r="A48" s="19" t="s">
        <v>339</v>
      </c>
      <c r="B48" s="83">
        <f aca="true" t="shared" si="9" ref="B48:G48">SUM(B49:B57)</f>
        <v>17420029</v>
      </c>
      <c r="C48" s="83">
        <f t="shared" si="9"/>
        <v>24939180.58</v>
      </c>
      <c r="D48" s="83">
        <f t="shared" si="9"/>
        <v>42359209.58</v>
      </c>
      <c r="E48" s="83">
        <f t="shared" si="9"/>
        <v>36560955.099999994</v>
      </c>
      <c r="F48" s="83">
        <f t="shared" si="9"/>
        <v>36214545.099999994</v>
      </c>
      <c r="G48" s="83">
        <f t="shared" si="9"/>
        <v>5798254.48</v>
      </c>
    </row>
    <row r="49" spans="1:7" ht="14.25">
      <c r="A49" s="20" t="s">
        <v>340</v>
      </c>
      <c r="B49" s="83">
        <v>14487053</v>
      </c>
      <c r="C49" s="83">
        <v>-1265636.7</v>
      </c>
      <c r="D49" s="83">
        <v>13221416.3</v>
      </c>
      <c r="E49" s="83">
        <v>8689717.62</v>
      </c>
      <c r="F49" s="83">
        <v>8689717.62</v>
      </c>
      <c r="G49" s="83">
        <f>D49-E49</f>
        <v>4531698.680000002</v>
      </c>
    </row>
    <row r="50" spans="1:7" ht="14.25">
      <c r="A50" s="20" t="s">
        <v>341</v>
      </c>
      <c r="B50" s="83">
        <v>159477</v>
      </c>
      <c r="C50" s="83">
        <v>1099804.07</v>
      </c>
      <c r="D50" s="83">
        <v>1259281.07</v>
      </c>
      <c r="E50" s="83">
        <v>1030623.44</v>
      </c>
      <c r="F50" s="83">
        <v>1030623.44</v>
      </c>
      <c r="G50" s="83">
        <f aca="true" t="shared" si="10" ref="G50:G57">D50-E50</f>
        <v>228657.63000000012</v>
      </c>
    </row>
    <row r="51" spans="1:7" ht="14.25">
      <c r="A51" s="20" t="s">
        <v>342</v>
      </c>
      <c r="B51" s="83">
        <v>23500</v>
      </c>
      <c r="C51" s="83">
        <v>0</v>
      </c>
      <c r="D51" s="83">
        <v>23500</v>
      </c>
      <c r="E51" s="83">
        <v>0</v>
      </c>
      <c r="F51" s="83">
        <v>0</v>
      </c>
      <c r="G51" s="83">
        <f t="shared" si="10"/>
        <v>23500</v>
      </c>
    </row>
    <row r="52" spans="1:7" ht="14.25">
      <c r="A52" s="20" t="s">
        <v>343</v>
      </c>
      <c r="B52" s="83">
        <v>2610000</v>
      </c>
      <c r="C52" s="83">
        <v>14216933.31</v>
      </c>
      <c r="D52" s="83">
        <v>16826933.31</v>
      </c>
      <c r="E52" s="83">
        <v>16084558.45</v>
      </c>
      <c r="F52" s="83">
        <v>15738148.45</v>
      </c>
      <c r="G52" s="83">
        <f t="shared" si="10"/>
        <v>742374.8599999994</v>
      </c>
    </row>
    <row r="53" spans="1:7" ht="14.25">
      <c r="A53" s="20" t="s">
        <v>344</v>
      </c>
      <c r="B53" s="83">
        <v>0</v>
      </c>
      <c r="C53" s="83">
        <v>175000</v>
      </c>
      <c r="D53" s="83">
        <v>175000</v>
      </c>
      <c r="E53" s="83">
        <v>0</v>
      </c>
      <c r="F53" s="83">
        <v>0</v>
      </c>
      <c r="G53" s="83">
        <f t="shared" si="10"/>
        <v>175000</v>
      </c>
    </row>
    <row r="54" spans="1:7" ht="14.25">
      <c r="A54" s="20" t="s">
        <v>345</v>
      </c>
      <c r="B54" s="83">
        <v>99999</v>
      </c>
      <c r="C54" s="83">
        <v>220401.68</v>
      </c>
      <c r="D54" s="83">
        <v>320400.68</v>
      </c>
      <c r="E54" s="83">
        <v>223700.31</v>
      </c>
      <c r="F54" s="83">
        <v>223700.31</v>
      </c>
      <c r="G54" s="83">
        <f t="shared" si="10"/>
        <v>96700.37</v>
      </c>
    </row>
    <row r="55" spans="1:7" ht="14.25">
      <c r="A55" s="20" t="s">
        <v>346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0"/>
        <v>0</v>
      </c>
    </row>
    <row r="56" spans="1:7" ht="14.25">
      <c r="A56" s="20" t="s">
        <v>347</v>
      </c>
      <c r="B56" s="83">
        <v>0</v>
      </c>
      <c r="C56" s="83">
        <v>10000000</v>
      </c>
      <c r="D56" s="83">
        <v>10000000</v>
      </c>
      <c r="E56" s="83">
        <v>10000000</v>
      </c>
      <c r="F56" s="83">
        <v>10000000</v>
      </c>
      <c r="G56" s="83">
        <f t="shared" si="10"/>
        <v>0</v>
      </c>
    </row>
    <row r="57" spans="1:7" ht="14.25">
      <c r="A57" s="20" t="s">
        <v>348</v>
      </c>
      <c r="B57" s="83">
        <v>40000</v>
      </c>
      <c r="C57" s="83">
        <v>492678.22</v>
      </c>
      <c r="D57" s="83">
        <v>532678.22</v>
      </c>
      <c r="E57" s="83">
        <v>532355.28</v>
      </c>
      <c r="F57" s="83">
        <v>532355.28</v>
      </c>
      <c r="G57" s="83">
        <f t="shared" si="10"/>
        <v>322.9399999999441</v>
      </c>
    </row>
    <row r="58" spans="1:7" ht="14.25">
      <c r="A58" s="19" t="s">
        <v>349</v>
      </c>
      <c r="B58" s="83">
        <f aca="true" t="shared" si="11" ref="B58:G58">SUM(B59:B61)</f>
        <v>157942011</v>
      </c>
      <c r="C58" s="83">
        <f t="shared" si="11"/>
        <v>171124927.11</v>
      </c>
      <c r="D58" s="131">
        <f>SUM(D59:D61)</f>
        <v>329066938.11</v>
      </c>
      <c r="E58" s="83">
        <f t="shared" si="11"/>
        <v>221727495.46</v>
      </c>
      <c r="F58" s="83">
        <f t="shared" si="11"/>
        <v>195287996.62</v>
      </c>
      <c r="G58" s="83">
        <f t="shared" si="11"/>
        <v>107339442.64999998</v>
      </c>
    </row>
    <row r="59" spans="1:7" ht="14.25">
      <c r="A59" s="20" t="s">
        <v>350</v>
      </c>
      <c r="B59" s="83">
        <v>157942011</v>
      </c>
      <c r="C59" s="83">
        <v>68683820.7</v>
      </c>
      <c r="D59" s="83">
        <v>226625831.7</v>
      </c>
      <c r="E59" s="83">
        <v>122982213.01</v>
      </c>
      <c r="F59" s="83">
        <v>96542714.17</v>
      </c>
      <c r="G59" s="83">
        <f>D59-E59</f>
        <v>103643618.68999998</v>
      </c>
    </row>
    <row r="60" spans="1:7" ht="14.25">
      <c r="A60" s="20" t="s">
        <v>351</v>
      </c>
      <c r="B60" s="83">
        <v>0</v>
      </c>
      <c r="C60" s="83">
        <v>102441106.41</v>
      </c>
      <c r="D60" s="83">
        <v>102441106.41</v>
      </c>
      <c r="E60" s="83">
        <v>98745282.45</v>
      </c>
      <c r="F60" s="83">
        <v>98745282.45</v>
      </c>
      <c r="G60" s="83">
        <f>D60-E60</f>
        <v>3695823.9599999934</v>
      </c>
    </row>
    <row r="61" spans="1:7" ht="14.25">
      <c r="A61" s="20" t="s">
        <v>352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f>D61-E61</f>
        <v>0</v>
      </c>
    </row>
    <row r="62" spans="1:7" ht="14.25">
      <c r="A62" s="19" t="s">
        <v>353</v>
      </c>
      <c r="B62" s="126">
        <f>SUM(B63:B67,B68:B69)</f>
        <v>184215368</v>
      </c>
      <c r="C62" s="126">
        <f>SUM(C63:C67,C68:C69)</f>
        <v>49219877.269999996</v>
      </c>
      <c r="D62" s="127">
        <f>SUM(D63:D67,D68:D69)</f>
        <v>233435245.27</v>
      </c>
      <c r="E62" s="126">
        <f>SUM(E63:E67,E68:E69)</f>
        <v>22115988.78</v>
      </c>
      <c r="F62" s="83">
        <f>SUM(F63:F67,F68:F69)</f>
        <v>22115988.78</v>
      </c>
      <c r="G62" s="126">
        <f>D62-E62</f>
        <v>211319256.49</v>
      </c>
    </row>
    <row r="63" spans="1:7" ht="14.25">
      <c r="A63" s="20" t="s">
        <v>354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83">
        <f>D63-E63</f>
        <v>0</v>
      </c>
    </row>
    <row r="64" spans="1:7" ht="14.25">
      <c r="A64" s="20" t="s">
        <v>355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83">
        <f aca="true" t="shared" si="12" ref="G64:G69">D64-E64</f>
        <v>0</v>
      </c>
    </row>
    <row r="65" spans="1:7" ht="14.25">
      <c r="A65" s="20" t="s">
        <v>356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83">
        <f t="shared" si="12"/>
        <v>0</v>
      </c>
    </row>
    <row r="66" spans="1:7" ht="14.25">
      <c r="A66" s="20" t="s">
        <v>357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83">
        <f t="shared" si="12"/>
        <v>0</v>
      </c>
    </row>
    <row r="67" spans="1:7" ht="28.5">
      <c r="A67" s="35" t="s">
        <v>461</v>
      </c>
      <c r="B67" s="127">
        <v>0</v>
      </c>
      <c r="C67" s="127">
        <v>22115988.78</v>
      </c>
      <c r="D67" s="127">
        <v>22115988.78</v>
      </c>
      <c r="E67" s="127">
        <v>22115988.78</v>
      </c>
      <c r="F67" s="127">
        <v>22115988.78</v>
      </c>
      <c r="G67" s="127">
        <f t="shared" si="12"/>
        <v>0</v>
      </c>
    </row>
    <row r="68" spans="1:7" ht="14.25">
      <c r="A68" s="20" t="s">
        <v>360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83">
        <f t="shared" si="12"/>
        <v>0</v>
      </c>
    </row>
    <row r="69" spans="1:7" ht="14.25">
      <c r="A69" s="20" t="s">
        <v>361</v>
      </c>
      <c r="B69" s="83">
        <v>184215368</v>
      </c>
      <c r="C69" s="83">
        <v>27103888.49</v>
      </c>
      <c r="D69" s="83">
        <v>211319256.49</v>
      </c>
      <c r="E69" s="83">
        <v>0</v>
      </c>
      <c r="F69" s="83">
        <v>0</v>
      </c>
      <c r="G69" s="83">
        <f t="shared" si="12"/>
        <v>211319256.49</v>
      </c>
    </row>
    <row r="70" spans="1:7" ht="14.25">
      <c r="A70" s="19" t="s">
        <v>362</v>
      </c>
      <c r="B70" s="83">
        <f aca="true" t="shared" si="13" ref="B70:G70">SUM(B71:B73)</f>
        <v>2902392097</v>
      </c>
      <c r="C70" s="83">
        <f t="shared" si="13"/>
        <v>-14623861.299999997</v>
      </c>
      <c r="D70" s="83">
        <f t="shared" si="13"/>
        <v>2887768235.7</v>
      </c>
      <c r="E70" s="83">
        <f t="shared" si="13"/>
        <v>2878023607.85</v>
      </c>
      <c r="F70" s="83">
        <f t="shared" si="13"/>
        <v>2852063557.85</v>
      </c>
      <c r="G70" s="83">
        <f t="shared" si="13"/>
        <v>9744627.849999964</v>
      </c>
    </row>
    <row r="71" spans="1:7" ht="14.25">
      <c r="A71" s="20" t="s">
        <v>363</v>
      </c>
      <c r="B71" s="83">
        <v>2579346941</v>
      </c>
      <c r="C71" s="83">
        <v>-69134303.63</v>
      </c>
      <c r="D71" s="83">
        <v>2510212637.37</v>
      </c>
      <c r="E71" s="83">
        <v>2510212637.37</v>
      </c>
      <c r="F71" s="83">
        <v>2484252587.37</v>
      </c>
      <c r="G71" s="83">
        <f>D71-E71</f>
        <v>0</v>
      </c>
    </row>
    <row r="72" spans="1:7" ht="14.25">
      <c r="A72" s="20" t="s">
        <v>364</v>
      </c>
      <c r="B72" s="83">
        <v>68807033</v>
      </c>
      <c r="C72" s="83">
        <v>16582785</v>
      </c>
      <c r="D72" s="83">
        <v>85389818</v>
      </c>
      <c r="E72" s="83">
        <v>85355984</v>
      </c>
      <c r="F72" s="83">
        <v>85355984</v>
      </c>
      <c r="G72" s="83">
        <f>D72-E72</f>
        <v>33834</v>
      </c>
    </row>
    <row r="73" spans="1:7" ht="14.25">
      <c r="A73" s="20" t="s">
        <v>365</v>
      </c>
      <c r="B73" s="83">
        <v>254238123</v>
      </c>
      <c r="C73" s="83">
        <v>37927657.33</v>
      </c>
      <c r="D73" s="83">
        <v>292165780.33</v>
      </c>
      <c r="E73" s="83">
        <v>282454986.48</v>
      </c>
      <c r="F73" s="83">
        <v>282454986.48</v>
      </c>
      <c r="G73" s="83">
        <f>D73-E73</f>
        <v>9710793.849999964</v>
      </c>
    </row>
    <row r="74" spans="1:7" ht="14.25">
      <c r="A74" s="19" t="s">
        <v>366</v>
      </c>
      <c r="B74" s="83">
        <f aca="true" t="shared" si="14" ref="B74:G74">SUM(B75:B81)</f>
        <v>273144349</v>
      </c>
      <c r="C74" s="83">
        <f>SUM(C75:C81)</f>
        <v>11140921.079999998</v>
      </c>
      <c r="D74" s="83">
        <f t="shared" si="14"/>
        <v>284285270.08</v>
      </c>
      <c r="E74" s="83">
        <f t="shared" si="14"/>
        <v>274671533.11</v>
      </c>
      <c r="F74" s="83">
        <f t="shared" si="14"/>
        <v>274671533.11</v>
      </c>
      <c r="G74" s="83">
        <f t="shared" si="14"/>
        <v>9613736.970000003</v>
      </c>
    </row>
    <row r="75" spans="1:7" ht="14.25">
      <c r="A75" s="20" t="s">
        <v>367</v>
      </c>
      <c r="B75" s="83">
        <v>49584189</v>
      </c>
      <c r="C75" s="83">
        <v>4.23</v>
      </c>
      <c r="D75" s="83">
        <v>49584193.23</v>
      </c>
      <c r="E75" s="83">
        <v>49584189.38</v>
      </c>
      <c r="F75" s="83">
        <v>49584189.38</v>
      </c>
      <c r="G75" s="83">
        <f>D75-E75</f>
        <v>3.8499999940395355</v>
      </c>
    </row>
    <row r="76" spans="1:7" ht="14.25">
      <c r="A76" s="20" t="s">
        <v>368</v>
      </c>
      <c r="B76" s="83">
        <v>173560160</v>
      </c>
      <c r="C76" s="83">
        <v>53563916.47</v>
      </c>
      <c r="D76" s="83">
        <v>227124076.47</v>
      </c>
      <c r="E76" s="83">
        <v>225087343.73</v>
      </c>
      <c r="F76" s="83">
        <v>225087343.73</v>
      </c>
      <c r="G76" s="83">
        <f aca="true" t="shared" si="15" ref="G76:G81">D76-E76</f>
        <v>2036732.7400000095</v>
      </c>
    </row>
    <row r="77" spans="1:7" ht="14.25">
      <c r="A77" s="20" t="s">
        <v>369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f t="shared" si="15"/>
        <v>0</v>
      </c>
    </row>
    <row r="78" spans="1:7" ht="14.25">
      <c r="A78" s="20" t="s">
        <v>370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f t="shared" si="15"/>
        <v>0</v>
      </c>
    </row>
    <row r="79" spans="1:7" ht="14.25">
      <c r="A79" s="20" t="s">
        <v>371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f t="shared" si="15"/>
        <v>0</v>
      </c>
    </row>
    <row r="80" spans="1:7" ht="14.25">
      <c r="A80" s="20" t="s">
        <v>372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f t="shared" si="15"/>
        <v>0</v>
      </c>
    </row>
    <row r="81" spans="1:7" ht="14.25">
      <c r="A81" s="20" t="s">
        <v>373</v>
      </c>
      <c r="B81" s="83">
        <v>50000000</v>
      </c>
      <c r="C81" s="83">
        <v>-42422999.62</v>
      </c>
      <c r="D81" s="83">
        <v>7577000.38</v>
      </c>
      <c r="E81" s="83">
        <v>0</v>
      </c>
      <c r="F81" s="83">
        <v>0</v>
      </c>
      <c r="G81" s="83">
        <f t="shared" si="15"/>
        <v>7577000.38</v>
      </c>
    </row>
    <row r="82" spans="1:7" ht="14.25">
      <c r="A82" s="21"/>
      <c r="B82" s="84"/>
      <c r="C82" s="84"/>
      <c r="D82" s="84"/>
      <c r="E82" s="84"/>
      <c r="F82" s="84"/>
      <c r="G82" s="84"/>
    </row>
    <row r="83" spans="1:7" ht="14.25">
      <c r="A83" s="22" t="s">
        <v>374</v>
      </c>
      <c r="B83" s="85">
        <f aca="true" t="shared" si="16" ref="B83:G83">SUM(B84,B92,B102,B112,B122,B132,B136,B145,B149)</f>
        <v>11042353021</v>
      </c>
      <c r="C83" s="85">
        <f t="shared" si="16"/>
        <v>1938748779.94</v>
      </c>
      <c r="D83" s="85">
        <f>SUM(D84,D92,D102,D112,D122,D132,D136,D145,D149)</f>
        <v>12981101800.940002</v>
      </c>
      <c r="E83" s="85">
        <f t="shared" si="16"/>
        <v>12805351478.27</v>
      </c>
      <c r="F83" s="85">
        <f t="shared" si="16"/>
        <v>12796156331.759998</v>
      </c>
      <c r="G83" s="85">
        <f t="shared" si="16"/>
        <v>175750322.67000064</v>
      </c>
    </row>
    <row r="84" spans="1:7" ht="14.25">
      <c r="A84" s="19" t="s">
        <v>301</v>
      </c>
      <c r="B84" s="83">
        <f aca="true" t="shared" si="17" ref="B84:G84">SUM(B85:B91)</f>
        <v>4689278295</v>
      </c>
      <c r="C84" s="83">
        <f t="shared" si="17"/>
        <v>279886734.07</v>
      </c>
      <c r="D84" s="83">
        <f t="shared" si="17"/>
        <v>4969165029.070001</v>
      </c>
      <c r="E84" s="83">
        <f t="shared" si="17"/>
        <v>4969165029.070001</v>
      </c>
      <c r="F84" s="83">
        <f t="shared" si="17"/>
        <v>4969165029.070001</v>
      </c>
      <c r="G84" s="83">
        <f t="shared" si="17"/>
        <v>0</v>
      </c>
    </row>
    <row r="85" spans="1:7" ht="14.25">
      <c r="A85" s="20" t="s">
        <v>302</v>
      </c>
      <c r="B85" s="83">
        <v>2699231454</v>
      </c>
      <c r="C85" s="83">
        <v>51245743.65</v>
      </c>
      <c r="D85" s="83">
        <v>2750477197.65</v>
      </c>
      <c r="E85" s="83">
        <v>2750477197.65</v>
      </c>
      <c r="F85" s="83">
        <v>2750477197.65</v>
      </c>
      <c r="G85" s="83">
        <f>D85-E85</f>
        <v>0</v>
      </c>
    </row>
    <row r="86" spans="1:7" ht="14.25">
      <c r="A86" s="20" t="s">
        <v>303</v>
      </c>
      <c r="B86" s="83">
        <v>3302652</v>
      </c>
      <c r="C86" s="83">
        <v>1029793.59</v>
      </c>
      <c r="D86" s="83">
        <v>4332445.59</v>
      </c>
      <c r="E86" s="83">
        <v>4332445.59</v>
      </c>
      <c r="F86" s="83">
        <v>4332445.59</v>
      </c>
      <c r="G86" s="83">
        <f aca="true" t="shared" si="18" ref="G86:G91">D86-E86</f>
        <v>0</v>
      </c>
    </row>
    <row r="87" spans="1:7" ht="14.25">
      <c r="A87" s="20" t="s">
        <v>304</v>
      </c>
      <c r="B87" s="83">
        <v>957946094</v>
      </c>
      <c r="C87" s="83">
        <v>118441231.75</v>
      </c>
      <c r="D87" s="83">
        <v>1076387325.75</v>
      </c>
      <c r="E87" s="83">
        <v>1076387325.75</v>
      </c>
      <c r="F87" s="83">
        <v>1076387325.75</v>
      </c>
      <c r="G87" s="83">
        <f t="shared" si="18"/>
        <v>0</v>
      </c>
    </row>
    <row r="88" spans="1:7" ht="14.25">
      <c r="A88" s="20" t="s">
        <v>305</v>
      </c>
      <c r="B88" s="83">
        <v>455589376</v>
      </c>
      <c r="C88" s="83">
        <v>58820507.56</v>
      </c>
      <c r="D88" s="83">
        <v>514409883.56</v>
      </c>
      <c r="E88" s="83">
        <v>514409883.56</v>
      </c>
      <c r="F88" s="83">
        <v>514409883.56</v>
      </c>
      <c r="G88" s="83">
        <f t="shared" si="18"/>
        <v>0</v>
      </c>
    </row>
    <row r="89" spans="1:7" ht="14.25">
      <c r="A89" s="20" t="s">
        <v>306</v>
      </c>
      <c r="B89" s="83">
        <v>78965757</v>
      </c>
      <c r="C89" s="83">
        <v>13506105.22</v>
      </c>
      <c r="D89" s="83">
        <v>92471862.22</v>
      </c>
      <c r="E89" s="83">
        <v>92471862.22</v>
      </c>
      <c r="F89" s="83">
        <v>92471862.22</v>
      </c>
      <c r="G89" s="83">
        <f t="shared" si="18"/>
        <v>0</v>
      </c>
    </row>
    <row r="90" spans="1:7" ht="14.25">
      <c r="A90" s="20" t="s">
        <v>307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f t="shared" si="18"/>
        <v>0</v>
      </c>
    </row>
    <row r="91" spans="1:7" ht="14.25">
      <c r="A91" s="20" t="s">
        <v>308</v>
      </c>
      <c r="B91" s="83">
        <v>494242962</v>
      </c>
      <c r="C91" s="83">
        <v>36843352.3</v>
      </c>
      <c r="D91" s="83">
        <v>531086314.3</v>
      </c>
      <c r="E91" s="83">
        <v>531086314.3</v>
      </c>
      <c r="F91" s="83">
        <v>531086314.3</v>
      </c>
      <c r="G91" s="83">
        <f t="shared" si="18"/>
        <v>0</v>
      </c>
    </row>
    <row r="92" spans="1:7" ht="14.25">
      <c r="A92" s="19" t="s">
        <v>309</v>
      </c>
      <c r="B92" s="83">
        <f aca="true" t="shared" si="19" ref="B92:G92">SUM(B93:B101)</f>
        <v>65857796</v>
      </c>
      <c r="C92" s="127">
        <f t="shared" si="19"/>
        <v>7136252.630000001</v>
      </c>
      <c r="D92" s="127">
        <f t="shared" si="19"/>
        <v>72994048.63000003</v>
      </c>
      <c r="E92" s="127">
        <f t="shared" si="19"/>
        <v>61872898.92</v>
      </c>
      <c r="F92" s="127">
        <f t="shared" si="19"/>
        <v>61790250.11</v>
      </c>
      <c r="G92" s="127">
        <f t="shared" si="19"/>
        <v>11121149.710000003</v>
      </c>
    </row>
    <row r="93" spans="1:7" ht="14.25">
      <c r="A93" s="20" t="s">
        <v>310</v>
      </c>
      <c r="B93" s="83">
        <v>10159401</v>
      </c>
      <c r="C93" s="83">
        <v>-1473390.75</v>
      </c>
      <c r="D93" s="83">
        <v>8686010.25</v>
      </c>
      <c r="E93" s="83">
        <v>8591284.88</v>
      </c>
      <c r="F93" s="83">
        <v>8591284.88</v>
      </c>
      <c r="G93" s="83">
        <f>D93-E93</f>
        <v>94725.36999999918</v>
      </c>
    </row>
    <row r="94" spans="1:7" ht="14.25">
      <c r="A94" s="20" t="s">
        <v>311</v>
      </c>
      <c r="B94" s="83">
        <v>10124288</v>
      </c>
      <c r="C94" s="83">
        <v>564343.17</v>
      </c>
      <c r="D94" s="83">
        <v>10688631.17</v>
      </c>
      <c r="E94" s="83">
        <v>10501529.57</v>
      </c>
      <c r="F94" s="83">
        <v>10501529.57</v>
      </c>
      <c r="G94" s="83">
        <f aca="true" t="shared" si="20" ref="G94:G101">D94-E94</f>
        <v>187101.59999999963</v>
      </c>
    </row>
    <row r="95" spans="1:7" ht="14.25">
      <c r="A95" s="20" t="s">
        <v>312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f t="shared" si="20"/>
        <v>0</v>
      </c>
    </row>
    <row r="96" spans="1:7" ht="14.25">
      <c r="A96" s="20" t="s">
        <v>313</v>
      </c>
      <c r="B96" s="83">
        <v>1034991</v>
      </c>
      <c r="C96" s="83">
        <v>2713195.54</v>
      </c>
      <c r="D96" s="83">
        <v>3748186.54</v>
      </c>
      <c r="E96" s="83">
        <v>3747235.01</v>
      </c>
      <c r="F96" s="83">
        <v>3704486.02</v>
      </c>
      <c r="G96" s="83">
        <f t="shared" si="20"/>
        <v>951.5300000002608</v>
      </c>
    </row>
    <row r="97" spans="1:7" ht="14.25">
      <c r="A97" s="23" t="s">
        <v>314</v>
      </c>
      <c r="B97" s="83">
        <v>2846500</v>
      </c>
      <c r="C97" s="83">
        <v>-193677.07</v>
      </c>
      <c r="D97" s="83">
        <v>2652822.93</v>
      </c>
      <c r="E97" s="83">
        <v>2600028.91</v>
      </c>
      <c r="F97" s="83">
        <v>2600028.91</v>
      </c>
      <c r="G97" s="83">
        <f t="shared" si="20"/>
        <v>52794.02000000002</v>
      </c>
    </row>
    <row r="98" spans="1:7" ht="14.25">
      <c r="A98" s="20" t="s">
        <v>315</v>
      </c>
      <c r="B98" s="83">
        <v>8028575</v>
      </c>
      <c r="C98" s="83">
        <v>-284458.47</v>
      </c>
      <c r="D98" s="83">
        <v>7744116.53</v>
      </c>
      <c r="E98" s="83">
        <v>7742887.3</v>
      </c>
      <c r="F98" s="83">
        <v>7742887.3</v>
      </c>
      <c r="G98" s="83">
        <f t="shared" si="20"/>
        <v>1229.230000000447</v>
      </c>
    </row>
    <row r="99" spans="1:7" ht="14.25">
      <c r="A99" s="20" t="s">
        <v>316</v>
      </c>
      <c r="B99" s="83">
        <v>25875600</v>
      </c>
      <c r="C99" s="83">
        <v>8311066.63</v>
      </c>
      <c r="D99" s="83">
        <v>34186666.63</v>
      </c>
      <c r="E99" s="83">
        <v>23845808.86</v>
      </c>
      <c r="F99" s="83">
        <v>23805909.04</v>
      </c>
      <c r="G99" s="83">
        <f t="shared" si="20"/>
        <v>10340857.770000003</v>
      </c>
    </row>
    <row r="100" spans="1:7" ht="14.25">
      <c r="A100" s="20" t="s">
        <v>317</v>
      </c>
      <c r="B100" s="83">
        <v>1855000</v>
      </c>
      <c r="C100" s="83">
        <v>409599.18</v>
      </c>
      <c r="D100" s="83">
        <v>2264599.18</v>
      </c>
      <c r="E100" s="83">
        <v>2026288</v>
      </c>
      <c r="F100" s="83">
        <v>2026288</v>
      </c>
      <c r="G100" s="83">
        <f t="shared" si="20"/>
        <v>238311.18000000017</v>
      </c>
    </row>
    <row r="101" spans="1:7" ht="14.25">
      <c r="A101" s="20" t="s">
        <v>318</v>
      </c>
      <c r="B101" s="83">
        <v>5933441</v>
      </c>
      <c r="C101" s="83">
        <v>-2910425.6</v>
      </c>
      <c r="D101" s="83">
        <v>3023015.4</v>
      </c>
      <c r="E101" s="83">
        <v>2817836.39</v>
      </c>
      <c r="F101" s="83">
        <v>2817836.39</v>
      </c>
      <c r="G101" s="83">
        <f t="shared" si="20"/>
        <v>205179.00999999978</v>
      </c>
    </row>
    <row r="102" spans="1:7" ht="14.25">
      <c r="A102" s="19" t="s">
        <v>319</v>
      </c>
      <c r="B102" s="83">
        <f aca="true" t="shared" si="21" ref="B102:G102">SUM(B103:B111)</f>
        <v>274143776</v>
      </c>
      <c r="C102" s="83">
        <f t="shared" si="21"/>
        <v>9338808.009999998</v>
      </c>
      <c r="D102" s="83">
        <f t="shared" si="21"/>
        <v>283482584.01</v>
      </c>
      <c r="E102" s="83">
        <f t="shared" si="21"/>
        <v>273503179.54</v>
      </c>
      <c r="F102" s="83">
        <f t="shared" si="21"/>
        <v>273424379.54</v>
      </c>
      <c r="G102" s="83">
        <f t="shared" si="21"/>
        <v>9979404.47000001</v>
      </c>
    </row>
    <row r="103" spans="1:7" ht="14.25">
      <c r="A103" s="20" t="s">
        <v>320</v>
      </c>
      <c r="B103" s="83">
        <v>102840777</v>
      </c>
      <c r="C103" s="83">
        <v>-31418103.66</v>
      </c>
      <c r="D103" s="83">
        <v>71422673.34</v>
      </c>
      <c r="E103" s="83">
        <v>66872159.93</v>
      </c>
      <c r="F103" s="83">
        <v>66872159.93</v>
      </c>
      <c r="G103" s="83">
        <f>D103-E103</f>
        <v>4550513.410000004</v>
      </c>
    </row>
    <row r="104" spans="1:7" ht="14.25">
      <c r="A104" s="20" t="s">
        <v>321</v>
      </c>
      <c r="B104" s="83">
        <v>11122850</v>
      </c>
      <c r="C104" s="83">
        <v>-1253167.54</v>
      </c>
      <c r="D104" s="83">
        <v>9869682.46</v>
      </c>
      <c r="E104" s="83">
        <v>9849540.61</v>
      </c>
      <c r="F104" s="83">
        <v>9770740.61</v>
      </c>
      <c r="G104" s="83">
        <f aca="true" t="shared" si="22" ref="G104:G111">D104-E104</f>
        <v>20141.85000000149</v>
      </c>
    </row>
    <row r="105" spans="1:7" ht="14.25">
      <c r="A105" s="20" t="s">
        <v>322</v>
      </c>
      <c r="B105" s="83">
        <v>28340253</v>
      </c>
      <c r="C105" s="83">
        <v>3377443.16</v>
      </c>
      <c r="D105" s="83">
        <v>31717696.16</v>
      </c>
      <c r="E105" s="83">
        <v>29985581</v>
      </c>
      <c r="F105" s="83">
        <v>29985581</v>
      </c>
      <c r="G105" s="83">
        <f t="shared" si="22"/>
        <v>1732115.1600000001</v>
      </c>
    </row>
    <row r="106" spans="1:7" ht="14.25">
      <c r="A106" s="20" t="s">
        <v>323</v>
      </c>
      <c r="B106" s="83">
        <v>462316</v>
      </c>
      <c r="C106" s="83">
        <v>1695587.56</v>
      </c>
      <c r="D106" s="83">
        <v>2157903.56</v>
      </c>
      <c r="E106" s="83">
        <v>2157811.65</v>
      </c>
      <c r="F106" s="83">
        <v>2157811.65</v>
      </c>
      <c r="G106" s="83">
        <f t="shared" si="22"/>
        <v>91.91000000014901</v>
      </c>
    </row>
    <row r="107" spans="1:7" ht="14.25">
      <c r="A107" s="20" t="s">
        <v>324</v>
      </c>
      <c r="B107" s="83">
        <v>122735158</v>
      </c>
      <c r="C107" s="83">
        <v>40725967.01</v>
      </c>
      <c r="D107" s="83">
        <v>163461125.01</v>
      </c>
      <c r="E107" s="83">
        <v>159806876.42</v>
      </c>
      <c r="F107" s="83">
        <v>159806876.42</v>
      </c>
      <c r="G107" s="83">
        <f t="shared" si="22"/>
        <v>3654248.5900000036</v>
      </c>
    </row>
    <row r="108" spans="1:7" ht="14.25">
      <c r="A108" s="20" t="s">
        <v>325</v>
      </c>
      <c r="B108" s="83">
        <v>704745</v>
      </c>
      <c r="C108" s="83">
        <v>-113794.77</v>
      </c>
      <c r="D108" s="83">
        <v>590950.23</v>
      </c>
      <c r="E108" s="83">
        <v>568656.68</v>
      </c>
      <c r="F108" s="83">
        <v>568656.68</v>
      </c>
      <c r="G108" s="83">
        <f t="shared" si="22"/>
        <v>22293.54999999993</v>
      </c>
    </row>
    <row r="109" spans="1:7" ht="14.25">
      <c r="A109" s="20" t="s">
        <v>326</v>
      </c>
      <c r="B109" s="83">
        <v>3632232</v>
      </c>
      <c r="C109" s="83">
        <v>-1963904.64</v>
      </c>
      <c r="D109" s="83">
        <v>1668327.36</v>
      </c>
      <c r="E109" s="83">
        <v>1668327.36</v>
      </c>
      <c r="F109" s="83">
        <v>1668327.36</v>
      </c>
      <c r="G109" s="83">
        <f t="shared" si="22"/>
        <v>0</v>
      </c>
    </row>
    <row r="110" spans="1:7" ht="14.25">
      <c r="A110" s="20" t="s">
        <v>327</v>
      </c>
      <c r="B110" s="83">
        <v>4160509</v>
      </c>
      <c r="C110" s="83">
        <v>-1639693.13</v>
      </c>
      <c r="D110" s="83">
        <v>2520815.87</v>
      </c>
      <c r="E110" s="83">
        <v>2520815.87</v>
      </c>
      <c r="F110" s="83">
        <v>2520815.87</v>
      </c>
      <c r="G110" s="83">
        <f t="shared" si="22"/>
        <v>0</v>
      </c>
    </row>
    <row r="111" spans="1:7" ht="14.25">
      <c r="A111" s="20" t="s">
        <v>328</v>
      </c>
      <c r="B111" s="83">
        <v>144936</v>
      </c>
      <c r="C111" s="83">
        <v>-71525.98</v>
      </c>
      <c r="D111" s="83">
        <v>73410.02</v>
      </c>
      <c r="E111" s="83">
        <v>73410.02</v>
      </c>
      <c r="F111" s="83">
        <v>73410.02</v>
      </c>
      <c r="G111" s="83">
        <f t="shared" si="22"/>
        <v>0</v>
      </c>
    </row>
    <row r="112" spans="1:7" ht="14.25">
      <c r="A112" s="19" t="s">
        <v>329</v>
      </c>
      <c r="B112" s="83">
        <f aca="true" t="shared" si="23" ref="B112:G112">SUM(B113:B121)</f>
        <v>3658728234</v>
      </c>
      <c r="C112" s="83">
        <f t="shared" si="23"/>
        <v>1374836931.96</v>
      </c>
      <c r="D112" s="83">
        <f t="shared" si="23"/>
        <v>5033565165.96</v>
      </c>
      <c r="E112" s="83">
        <f t="shared" si="23"/>
        <v>5005653802.19</v>
      </c>
      <c r="F112" s="83">
        <f t="shared" si="23"/>
        <v>5005320068.49</v>
      </c>
      <c r="G112" s="83">
        <f t="shared" si="23"/>
        <v>27911363.770000648</v>
      </c>
    </row>
    <row r="113" spans="1:7" ht="14.25">
      <c r="A113" s="20" t="s">
        <v>330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f>D113-E113</f>
        <v>0</v>
      </c>
    </row>
    <row r="114" spans="1:7" ht="14.25">
      <c r="A114" s="20" t="s">
        <v>331</v>
      </c>
      <c r="B114" s="83">
        <v>3651028089</v>
      </c>
      <c r="C114" s="83">
        <v>1354388135.06</v>
      </c>
      <c r="D114" s="83">
        <v>5005416224.06</v>
      </c>
      <c r="E114" s="83">
        <v>4979143226.49</v>
      </c>
      <c r="F114" s="83">
        <v>4978809492.79</v>
      </c>
      <c r="G114" s="83">
        <f aca="true" t="shared" si="24" ref="G114:G121">D114-E114</f>
        <v>26272997.57000065</v>
      </c>
    </row>
    <row r="115" spans="1:7" ht="14.25">
      <c r="A115" s="20" t="s">
        <v>332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f t="shared" si="24"/>
        <v>0</v>
      </c>
    </row>
    <row r="116" spans="1:7" ht="14.25">
      <c r="A116" s="122" t="s">
        <v>333</v>
      </c>
      <c r="B116" s="123">
        <v>7700145</v>
      </c>
      <c r="C116" s="123">
        <v>-2187412.6</v>
      </c>
      <c r="D116" s="123">
        <v>5512732.4</v>
      </c>
      <c r="E116" s="123">
        <v>3874366.2</v>
      </c>
      <c r="F116" s="123">
        <v>3874366.2</v>
      </c>
      <c r="G116" s="123">
        <f t="shared" si="24"/>
        <v>1638366.2000000002</v>
      </c>
    </row>
    <row r="117" spans="1:7" ht="14.25">
      <c r="A117" s="20" t="s">
        <v>334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f t="shared" si="24"/>
        <v>0</v>
      </c>
    </row>
    <row r="118" spans="1:7" ht="14.25">
      <c r="A118" s="20" t="s">
        <v>335</v>
      </c>
      <c r="B118" s="83">
        <v>0</v>
      </c>
      <c r="C118" s="83">
        <v>22636209.5</v>
      </c>
      <c r="D118" s="83">
        <v>22636209.5</v>
      </c>
      <c r="E118" s="83">
        <v>22636209.5</v>
      </c>
      <c r="F118" s="83">
        <v>22636209.5</v>
      </c>
      <c r="G118" s="83">
        <f t="shared" si="24"/>
        <v>0</v>
      </c>
    </row>
    <row r="119" spans="1:7" ht="14.25">
      <c r="A119" s="20" t="s">
        <v>336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f t="shared" si="24"/>
        <v>0</v>
      </c>
    </row>
    <row r="120" spans="1:7" ht="14.25">
      <c r="A120" s="20" t="s">
        <v>337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f t="shared" si="24"/>
        <v>0</v>
      </c>
    </row>
    <row r="121" spans="1:7" ht="14.25">
      <c r="A121" s="20" t="s">
        <v>338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f t="shared" si="24"/>
        <v>0</v>
      </c>
    </row>
    <row r="122" spans="1:7" ht="14.25">
      <c r="A122" s="19" t="s">
        <v>339</v>
      </c>
      <c r="B122" s="83">
        <f aca="true" t="shared" si="25" ref="B122:G122">SUM(B123:B131)</f>
        <v>123080068</v>
      </c>
      <c r="C122" s="83">
        <f t="shared" si="25"/>
        <v>69783736.42</v>
      </c>
      <c r="D122" s="83">
        <f t="shared" si="25"/>
        <v>192863804.42</v>
      </c>
      <c r="E122" s="83">
        <f t="shared" si="25"/>
        <v>169287294.51</v>
      </c>
      <c r="F122" s="83">
        <f t="shared" si="25"/>
        <v>167703338.1</v>
      </c>
      <c r="G122" s="83">
        <f t="shared" si="25"/>
        <v>23576509.910000004</v>
      </c>
    </row>
    <row r="123" spans="1:7" ht="14.25">
      <c r="A123" s="20" t="s">
        <v>340</v>
      </c>
      <c r="B123" s="83">
        <v>21188992</v>
      </c>
      <c r="C123" s="83">
        <v>4505003.48</v>
      </c>
      <c r="D123" s="83">
        <v>25693995.48</v>
      </c>
      <c r="E123" s="83">
        <v>18166069.43</v>
      </c>
      <c r="F123" s="83">
        <v>18085113.03</v>
      </c>
      <c r="G123" s="83">
        <f>D123-E123</f>
        <v>7527926.050000001</v>
      </c>
    </row>
    <row r="124" spans="1:7" ht="14.25">
      <c r="A124" s="20" t="s">
        <v>341</v>
      </c>
      <c r="B124" s="83">
        <v>106153</v>
      </c>
      <c r="C124" s="83">
        <v>11093095.84</v>
      </c>
      <c r="D124" s="83">
        <v>11199248.84</v>
      </c>
      <c r="E124" s="83">
        <v>10511462.82</v>
      </c>
      <c r="F124" s="83">
        <v>10511462.82</v>
      </c>
      <c r="G124" s="83">
        <f aca="true" t="shared" si="26" ref="G124:G131">D124-E124</f>
        <v>687786.0199999996</v>
      </c>
    </row>
    <row r="125" spans="1:7" ht="14.25">
      <c r="A125" s="20" t="s">
        <v>342</v>
      </c>
      <c r="B125" s="83">
        <v>45500</v>
      </c>
      <c r="C125" s="83">
        <v>592614.08</v>
      </c>
      <c r="D125" s="83">
        <v>638114.08</v>
      </c>
      <c r="E125" s="83">
        <v>481035.76</v>
      </c>
      <c r="F125" s="83">
        <v>481035.76</v>
      </c>
      <c r="G125" s="83">
        <f t="shared" si="26"/>
        <v>157078.31999999995</v>
      </c>
    </row>
    <row r="126" spans="1:7" ht="14.25">
      <c r="A126" s="20" t="s">
        <v>343</v>
      </c>
      <c r="B126" s="83">
        <v>75160430</v>
      </c>
      <c r="C126" s="83">
        <v>3241023.76</v>
      </c>
      <c r="D126" s="83">
        <v>78401453.76</v>
      </c>
      <c r="E126" s="83">
        <v>72872737.73</v>
      </c>
      <c r="F126" s="83">
        <v>71369737.72</v>
      </c>
      <c r="G126" s="83">
        <f t="shared" si="26"/>
        <v>5528716.030000001</v>
      </c>
    </row>
    <row r="127" spans="1:7" ht="14.25">
      <c r="A127" s="20" t="s">
        <v>344</v>
      </c>
      <c r="B127" s="83">
        <v>0</v>
      </c>
      <c r="C127" s="83">
        <v>24845397.65</v>
      </c>
      <c r="D127" s="83">
        <v>24845397.65</v>
      </c>
      <c r="E127" s="83">
        <v>24760844.73</v>
      </c>
      <c r="F127" s="83">
        <v>24760844.73</v>
      </c>
      <c r="G127" s="83">
        <f t="shared" si="26"/>
        <v>84552.91999999806</v>
      </c>
    </row>
    <row r="128" spans="1:7" ht="14.25">
      <c r="A128" s="20" t="s">
        <v>345</v>
      </c>
      <c r="B128" s="83">
        <v>20303333</v>
      </c>
      <c r="C128" s="83">
        <v>21004651.38</v>
      </c>
      <c r="D128" s="83">
        <v>41307984.38</v>
      </c>
      <c r="E128" s="83">
        <v>34859415.15</v>
      </c>
      <c r="F128" s="83">
        <v>34859415.15</v>
      </c>
      <c r="G128" s="83">
        <f t="shared" si="26"/>
        <v>6448569.230000004</v>
      </c>
    </row>
    <row r="129" spans="1:7" ht="14.25">
      <c r="A129" s="20" t="s">
        <v>346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f t="shared" si="26"/>
        <v>0</v>
      </c>
    </row>
    <row r="130" spans="1:7" ht="14.25">
      <c r="A130" s="20" t="s">
        <v>347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f t="shared" si="26"/>
        <v>0</v>
      </c>
    </row>
    <row r="131" spans="1:7" ht="14.25">
      <c r="A131" s="20" t="s">
        <v>348</v>
      </c>
      <c r="B131" s="83">
        <v>6275660</v>
      </c>
      <c r="C131" s="83">
        <v>4501950.23</v>
      </c>
      <c r="D131" s="83">
        <v>10777610.23</v>
      </c>
      <c r="E131" s="83">
        <v>7635728.89</v>
      </c>
      <c r="F131" s="83">
        <v>7635728.89</v>
      </c>
      <c r="G131" s="83">
        <f t="shared" si="26"/>
        <v>3141881.340000001</v>
      </c>
    </row>
    <row r="132" spans="1:7" ht="14.25">
      <c r="A132" s="19" t="s">
        <v>349</v>
      </c>
      <c r="B132" s="83">
        <f aca="true" t="shared" si="27" ref="B132:G132">SUM(B133:B135)</f>
        <v>536050877</v>
      </c>
      <c r="C132" s="83">
        <f t="shared" si="27"/>
        <v>-6091861.9</v>
      </c>
      <c r="D132" s="83">
        <f t="shared" si="27"/>
        <v>529959015.1</v>
      </c>
      <c r="E132" s="83">
        <f t="shared" si="27"/>
        <v>429506637.49</v>
      </c>
      <c r="F132" s="83">
        <f t="shared" si="27"/>
        <v>422390629.9</v>
      </c>
      <c r="G132" s="83">
        <f t="shared" si="27"/>
        <v>100452377.60999998</v>
      </c>
    </row>
    <row r="133" spans="1:7" ht="14.25">
      <c r="A133" s="20" t="s">
        <v>350</v>
      </c>
      <c r="B133" s="83">
        <v>526320529</v>
      </c>
      <c r="C133" s="83">
        <v>-3574142.57</v>
      </c>
      <c r="D133" s="83">
        <v>522746386.43</v>
      </c>
      <c r="E133" s="83">
        <v>426587841.92</v>
      </c>
      <c r="F133" s="83">
        <v>419471834.33</v>
      </c>
      <c r="G133" s="83">
        <f>D133-E133</f>
        <v>96158544.50999999</v>
      </c>
    </row>
    <row r="134" spans="1:7" ht="14.25">
      <c r="A134" s="20" t="s">
        <v>351</v>
      </c>
      <c r="B134" s="83">
        <v>9730348</v>
      </c>
      <c r="C134" s="83">
        <v>-2517719.33</v>
      </c>
      <c r="D134" s="83">
        <v>7212628.67</v>
      </c>
      <c r="E134" s="83">
        <v>2918795.57</v>
      </c>
      <c r="F134" s="83">
        <v>2918795.57</v>
      </c>
      <c r="G134" s="83">
        <f>D134-E134</f>
        <v>4293833.1</v>
      </c>
    </row>
    <row r="135" spans="1:7" ht="14.25">
      <c r="A135" s="20" t="s">
        <v>352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f>D135-E135</f>
        <v>0</v>
      </c>
    </row>
    <row r="136" spans="1:7" ht="14.25">
      <c r="A136" s="19" t="s">
        <v>353</v>
      </c>
      <c r="B136" s="83">
        <f aca="true" t="shared" si="28" ref="B136:G136">SUM(B137:B141,B143:B144)</f>
        <v>0</v>
      </c>
      <c r="C136" s="83" t="s">
        <v>480</v>
      </c>
      <c r="D136" s="83">
        <f t="shared" si="28"/>
        <v>0</v>
      </c>
      <c r="E136" s="83">
        <f t="shared" si="28"/>
        <v>0</v>
      </c>
      <c r="F136" s="83">
        <f t="shared" si="28"/>
        <v>0</v>
      </c>
      <c r="G136" s="83">
        <f t="shared" si="28"/>
        <v>0</v>
      </c>
    </row>
    <row r="137" spans="1:7" ht="14.25">
      <c r="A137" s="20" t="s">
        <v>354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f>D137-E137</f>
        <v>0</v>
      </c>
    </row>
    <row r="138" spans="1:7" ht="14.25">
      <c r="A138" s="20" t="s">
        <v>355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f aca="true" t="shared" si="29" ref="G138:G144">D138-E138</f>
        <v>0</v>
      </c>
    </row>
    <row r="139" spans="1:7" ht="14.25">
      <c r="A139" s="20" t="s">
        <v>356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f t="shared" si="29"/>
        <v>0</v>
      </c>
    </row>
    <row r="140" spans="1:7" ht="14.25">
      <c r="A140" s="20" t="s">
        <v>357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f t="shared" si="29"/>
        <v>0</v>
      </c>
    </row>
    <row r="141" spans="1:7" ht="14.25">
      <c r="A141" s="20" t="s">
        <v>358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f t="shared" si="29"/>
        <v>0</v>
      </c>
    </row>
    <row r="142" spans="1:7" ht="14.25">
      <c r="A142" s="20" t="s">
        <v>359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f t="shared" si="29"/>
        <v>0</v>
      </c>
    </row>
    <row r="143" spans="1:7" ht="14.25">
      <c r="A143" s="20" t="s">
        <v>360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f t="shared" si="29"/>
        <v>0</v>
      </c>
    </row>
    <row r="144" spans="1:7" ht="14.25">
      <c r="A144" s="20" t="s">
        <v>361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f t="shared" si="29"/>
        <v>0</v>
      </c>
    </row>
    <row r="145" spans="1:7" ht="14.25">
      <c r="A145" s="19" t="s">
        <v>362</v>
      </c>
      <c r="B145" s="83">
        <f aca="true" t="shared" si="30" ref="B145:G145">SUM(B146:B148)</f>
        <v>1695213975</v>
      </c>
      <c r="C145" s="83">
        <f t="shared" si="30"/>
        <v>203858178.75</v>
      </c>
      <c r="D145" s="83">
        <f t="shared" si="30"/>
        <v>1899072153.75</v>
      </c>
      <c r="E145" s="83">
        <f t="shared" si="30"/>
        <v>1896362636.55</v>
      </c>
      <c r="F145" s="83">
        <f t="shared" si="30"/>
        <v>1896362636.55</v>
      </c>
      <c r="G145" s="83">
        <f t="shared" si="30"/>
        <v>2709517.199999988</v>
      </c>
    </row>
    <row r="146" spans="1:7" ht="14.25">
      <c r="A146" s="20" t="s">
        <v>363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f>D146-E146</f>
        <v>0</v>
      </c>
    </row>
    <row r="147" spans="1:7" ht="14.25">
      <c r="A147" s="20" t="s">
        <v>364</v>
      </c>
      <c r="B147" s="83">
        <v>1594442011</v>
      </c>
      <c r="C147" s="83">
        <v>102049944</v>
      </c>
      <c r="D147" s="83">
        <v>1696491955</v>
      </c>
      <c r="E147" s="83">
        <v>1696491955</v>
      </c>
      <c r="F147" s="83">
        <v>1696491955</v>
      </c>
      <c r="G147" s="83">
        <f>D147-E147</f>
        <v>0</v>
      </c>
    </row>
    <row r="148" spans="1:7" ht="14.25">
      <c r="A148" s="20" t="s">
        <v>365</v>
      </c>
      <c r="B148" s="83">
        <v>100771964</v>
      </c>
      <c r="C148" s="83">
        <v>101808234.75</v>
      </c>
      <c r="D148" s="83">
        <v>202580198.75</v>
      </c>
      <c r="E148" s="83">
        <v>199870681.55</v>
      </c>
      <c r="F148" s="83">
        <v>199870681.55</v>
      </c>
      <c r="G148" s="83">
        <f>D148-E148</f>
        <v>2709517.199999988</v>
      </c>
    </row>
    <row r="149" spans="1:7" ht="14.25">
      <c r="A149" s="19" t="s">
        <v>366</v>
      </c>
      <c r="B149" s="83">
        <f aca="true" t="shared" si="31" ref="B149:G149">SUM(B150:B156)</f>
        <v>0</v>
      </c>
      <c r="C149" s="83">
        <f t="shared" si="31"/>
        <v>0</v>
      </c>
      <c r="D149" s="83">
        <f t="shared" si="31"/>
        <v>0</v>
      </c>
      <c r="E149" s="83">
        <f t="shared" si="31"/>
        <v>0</v>
      </c>
      <c r="F149" s="83">
        <f t="shared" si="31"/>
        <v>0</v>
      </c>
      <c r="G149" s="83">
        <f t="shared" si="31"/>
        <v>0</v>
      </c>
    </row>
    <row r="150" spans="1:7" ht="14.25">
      <c r="A150" s="20" t="s">
        <v>367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f>D150-E150</f>
        <v>0</v>
      </c>
    </row>
    <row r="151" spans="1:7" ht="14.25">
      <c r="A151" s="20" t="s">
        <v>368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f aca="true" t="shared" si="32" ref="G151:G156">D151-E151</f>
        <v>0</v>
      </c>
    </row>
    <row r="152" spans="1:7" ht="14.25">
      <c r="A152" s="20" t="s">
        <v>369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f t="shared" si="32"/>
        <v>0</v>
      </c>
    </row>
    <row r="153" spans="1:7" ht="14.25">
      <c r="A153" s="23" t="s">
        <v>370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f t="shared" si="32"/>
        <v>0</v>
      </c>
    </row>
    <row r="154" spans="1:7" ht="14.25">
      <c r="A154" s="20" t="s">
        <v>371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f t="shared" si="32"/>
        <v>0</v>
      </c>
    </row>
    <row r="155" spans="1:7" ht="14.25">
      <c r="A155" s="20" t="s">
        <v>372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f t="shared" si="32"/>
        <v>0</v>
      </c>
    </row>
    <row r="156" spans="1:7" ht="14.25">
      <c r="A156" s="20" t="s">
        <v>373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f t="shared" si="32"/>
        <v>0</v>
      </c>
    </row>
    <row r="157" spans="1:7" ht="14.25">
      <c r="A157" s="24"/>
      <c r="B157" s="84"/>
      <c r="C157" s="84"/>
      <c r="D157" s="84"/>
      <c r="E157" s="84"/>
      <c r="F157" s="84"/>
      <c r="G157" s="84"/>
    </row>
    <row r="158" spans="1:7" ht="14.25">
      <c r="A158" s="25" t="s">
        <v>375</v>
      </c>
      <c r="B158" s="85">
        <f aca="true" t="shared" si="33" ref="B158:G158">B9+B83</f>
        <v>22349942786</v>
      </c>
      <c r="C158" s="85">
        <f t="shared" si="33"/>
        <v>2053982607.91</v>
      </c>
      <c r="D158" s="85">
        <f t="shared" si="33"/>
        <v>24403925393.910004</v>
      </c>
      <c r="E158" s="85">
        <f t="shared" si="33"/>
        <v>23434404356.190002</v>
      </c>
      <c r="F158" s="85">
        <f t="shared" si="33"/>
        <v>23357655441.519997</v>
      </c>
      <c r="G158" s="85">
        <f t="shared" si="33"/>
        <v>969521037.7200009</v>
      </c>
    </row>
    <row r="159" spans="1:256" ht="14.25">
      <c r="A159" s="4"/>
      <c r="B159" s="116"/>
      <c r="C159" s="116"/>
      <c r="D159" s="116"/>
      <c r="E159" s="116"/>
      <c r="F159" s="116"/>
      <c r="G159" s="116"/>
      <c r="IV159" s="121"/>
    </row>
    <row r="160" spans="2:7" ht="14.25">
      <c r="B160" s="87"/>
      <c r="C160" s="87"/>
      <c r="D160" s="87"/>
      <c r="E160" s="87"/>
      <c r="F160" s="87"/>
      <c r="G160" s="87"/>
    </row>
    <row r="161" ht="14.2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4" r:id="rId1"/>
  <ignoredErrors>
    <ignoredError sqref="B9:C9 G11:G12 G19:G27 B18:F18 B28:F28 G29:G37 B38:F38 B48:F48 G55:G57 G59:G62 G63:G67 B70:F70 B74 G71:G73 B83 G96:G101 B102:F102 G103:G111 G113:G119 B112:F112 B122:F122 G120:G121 G123:G131 B132:F132 B136 G134:G135 G137:G138 G139:G144 G146:G148 B145:F145 B149:F149 G150:G156 B158:G158 G68:G69 B62:D62 B92 B10 D10:E10 D9:G9 E62:F62 G10 G13:G17 D136:F136 D74:F74 E83:G83 C92 G93:G95 G86:G91 C83 G78:G81 G75:G77 C74 C82:G82 C75:F77 C78:F81 C85:G85 D83 D92:E92 C86:F91 C93:F95 G84" unlockedFormula="1"/>
    <ignoredError sqref="G18 G28 G38 G39:G54 G58 B58:C58 G70 G102 G122 G133 G132 G136 G145 G149 G112 E58:F58 F92:G92 G74 B84 C84:F84" formula="1" unlockedFormula="1"/>
    <ignoredError sqref="B84 C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70" zoomScaleNormal="70" zoomScalePageLayoutView="0" workbookViewId="0" topLeftCell="A1">
      <selection activeCell="C37" sqref="C37"/>
    </sheetView>
  </sheetViews>
  <sheetFormatPr defaultColWidth="0.85546875" defaultRowHeight="15" zeroHeight="1"/>
  <cols>
    <col min="1" max="1" width="59.28125" style="37" customWidth="1"/>
    <col min="2" max="6" width="20.7109375" style="37" customWidth="1"/>
    <col min="7" max="7" width="18.28125" style="37" customWidth="1"/>
    <col min="8" max="255" width="11.421875" style="0" hidden="1" customWidth="1"/>
  </cols>
  <sheetData>
    <row r="1" spans="1:7" ht="21">
      <c r="A1" s="164" t="s">
        <v>376</v>
      </c>
      <c r="B1" s="164"/>
      <c r="C1" s="164"/>
      <c r="D1" s="164"/>
      <c r="E1" s="164"/>
      <c r="F1" s="164"/>
      <c r="G1" s="164"/>
    </row>
    <row r="2" spans="1:7" ht="14.25">
      <c r="A2" s="142" t="s">
        <v>290</v>
      </c>
      <c r="B2" s="143"/>
      <c r="C2" s="143"/>
      <c r="D2" s="143"/>
      <c r="E2" s="143"/>
      <c r="F2" s="143"/>
      <c r="G2" s="144"/>
    </row>
    <row r="3" spans="1:7" ht="14.25">
      <c r="A3" s="145" t="s">
        <v>292</v>
      </c>
      <c r="B3" s="146"/>
      <c r="C3" s="146"/>
      <c r="D3" s="146"/>
      <c r="E3" s="146"/>
      <c r="F3" s="146"/>
      <c r="G3" s="147"/>
    </row>
    <row r="4" spans="1:7" ht="14.25">
      <c r="A4" s="145" t="s">
        <v>377</v>
      </c>
      <c r="B4" s="146"/>
      <c r="C4" s="146"/>
      <c r="D4" s="146"/>
      <c r="E4" s="146"/>
      <c r="F4" s="146"/>
      <c r="G4" s="147"/>
    </row>
    <row r="5" spans="1:7" ht="14.25">
      <c r="A5" s="148" t="s">
        <v>479</v>
      </c>
      <c r="B5" s="149"/>
      <c r="C5" s="149"/>
      <c r="D5" s="149"/>
      <c r="E5" s="149"/>
      <c r="F5" s="149"/>
      <c r="G5" s="150"/>
    </row>
    <row r="6" spans="1:7" ht="14.25">
      <c r="A6" s="151" t="s">
        <v>2</v>
      </c>
      <c r="B6" s="152"/>
      <c r="C6" s="152"/>
      <c r="D6" s="152"/>
      <c r="E6" s="152"/>
      <c r="F6" s="152"/>
      <c r="G6" s="153"/>
    </row>
    <row r="7" spans="1:7" ht="14.25">
      <c r="A7" s="158" t="s">
        <v>4</v>
      </c>
      <c r="B7" s="160" t="s">
        <v>294</v>
      </c>
      <c r="C7" s="160"/>
      <c r="D7" s="160"/>
      <c r="E7" s="160"/>
      <c r="F7" s="160"/>
      <c r="G7" s="163" t="s">
        <v>295</v>
      </c>
    </row>
    <row r="8" spans="1:7" ht="28.5">
      <c r="A8" s="159"/>
      <c r="B8" s="17" t="s">
        <v>296</v>
      </c>
      <c r="C8" s="6" t="s">
        <v>226</v>
      </c>
      <c r="D8" s="17" t="s">
        <v>227</v>
      </c>
      <c r="E8" s="17" t="s">
        <v>182</v>
      </c>
      <c r="F8" s="17" t="s">
        <v>199</v>
      </c>
      <c r="G8" s="162"/>
    </row>
    <row r="9" spans="1:7" ht="14.25">
      <c r="A9" s="18" t="s">
        <v>378</v>
      </c>
      <c r="B9" s="103">
        <f>SUM(B10:GASTO_NE_FIN_01)</f>
        <v>11307589765</v>
      </c>
      <c r="C9" s="103">
        <f>SUM(C10:GASTO_NE_FIN_02)</f>
        <v>115233827.97</v>
      </c>
      <c r="D9" s="103">
        <f>SUM(D10:GASTO_NE_FIN_03)</f>
        <v>11422823592.97</v>
      </c>
      <c r="E9" s="103">
        <f>SUM(E10:GASTO_NE_FIN_04)</f>
        <v>10629052877.919998</v>
      </c>
      <c r="F9" s="103">
        <f>SUM(F10:cvbcvb)</f>
        <v>10561499109.76</v>
      </c>
      <c r="G9" s="103">
        <f>SUM(G10:GASTO_NE_FIN_06)</f>
        <v>793770715.05</v>
      </c>
    </row>
    <row r="10" spans="1:7" ht="28.5">
      <c r="A10" s="80" t="s">
        <v>465</v>
      </c>
      <c r="B10" s="83">
        <v>177822899</v>
      </c>
      <c r="C10" s="83">
        <v>3751120.66</v>
      </c>
      <c r="D10" s="83">
        <v>181574019.66</v>
      </c>
      <c r="E10" s="83">
        <v>171895735.53</v>
      </c>
      <c r="F10" s="127">
        <v>171496886.68</v>
      </c>
      <c r="G10" s="83">
        <f>+D10-E10</f>
        <v>9678284.129999995</v>
      </c>
    </row>
    <row r="11" spans="1:7" ht="14.25">
      <c r="A11" s="38" t="s">
        <v>466</v>
      </c>
      <c r="B11" s="83">
        <v>496215443</v>
      </c>
      <c r="C11" s="83">
        <v>-86048092.9</v>
      </c>
      <c r="D11" s="83">
        <v>410167350.1</v>
      </c>
      <c r="E11" s="83">
        <v>391012178.3</v>
      </c>
      <c r="F11" s="127">
        <v>389903712.21</v>
      </c>
      <c r="G11" s="125">
        <f aca="true" t="shared" si="0" ref="G11:G35">+D11-E11</f>
        <v>19155171.800000012</v>
      </c>
    </row>
    <row r="12" spans="1:7" ht="14.25">
      <c r="A12" s="38" t="s">
        <v>467</v>
      </c>
      <c r="B12" s="83">
        <v>667959852</v>
      </c>
      <c r="C12" s="83">
        <v>-13689698.68</v>
      </c>
      <c r="D12" s="83">
        <v>654270153.32</v>
      </c>
      <c r="E12" s="83">
        <v>480863179.27</v>
      </c>
      <c r="F12" s="127">
        <v>479070469.82</v>
      </c>
      <c r="G12" s="125">
        <f t="shared" si="0"/>
        <v>173406974.05000007</v>
      </c>
    </row>
    <row r="13" spans="1:7" ht="28.5">
      <c r="A13" s="80" t="s">
        <v>468</v>
      </c>
      <c r="B13" s="83">
        <v>93928779</v>
      </c>
      <c r="C13" s="83">
        <v>-16310410.36</v>
      </c>
      <c r="D13" s="83">
        <v>77618368.64</v>
      </c>
      <c r="E13" s="83">
        <v>69727642.91</v>
      </c>
      <c r="F13" s="127">
        <v>69479367.66</v>
      </c>
      <c r="G13" s="125">
        <f t="shared" si="0"/>
        <v>7890725.730000004</v>
      </c>
    </row>
    <row r="14" spans="1:7" ht="14.25">
      <c r="A14" s="38" t="s">
        <v>437</v>
      </c>
      <c r="B14" s="83">
        <v>518906986</v>
      </c>
      <c r="C14" s="83">
        <v>-40007350.47</v>
      </c>
      <c r="D14" s="83">
        <v>478899635.53</v>
      </c>
      <c r="E14" s="83">
        <v>457724968.19</v>
      </c>
      <c r="F14" s="127">
        <v>456500714.77</v>
      </c>
      <c r="G14" s="125">
        <f t="shared" si="0"/>
        <v>21174667.339999974</v>
      </c>
    </row>
    <row r="15" spans="1:7" ht="14.25">
      <c r="A15" s="38" t="s">
        <v>438</v>
      </c>
      <c r="B15" s="83">
        <v>298897055</v>
      </c>
      <c r="C15" s="83">
        <v>-9279152.67</v>
      </c>
      <c r="D15" s="83">
        <v>289617902.33</v>
      </c>
      <c r="E15" s="83">
        <v>283349554.03</v>
      </c>
      <c r="F15" s="127">
        <v>282632742.47</v>
      </c>
      <c r="G15" s="125">
        <f t="shared" si="0"/>
        <v>6268348.300000012</v>
      </c>
    </row>
    <row r="16" spans="1:7" ht="14.25">
      <c r="A16" s="80" t="s">
        <v>469</v>
      </c>
      <c r="B16" s="83">
        <v>343957234</v>
      </c>
      <c r="C16" s="83">
        <v>134788777.32</v>
      </c>
      <c r="D16" s="83">
        <v>478746011.32</v>
      </c>
      <c r="E16" s="83">
        <v>362944699.32</v>
      </c>
      <c r="F16" s="127">
        <v>334114989.59</v>
      </c>
      <c r="G16" s="125">
        <f t="shared" si="0"/>
        <v>115801312</v>
      </c>
    </row>
    <row r="17" spans="1:7" ht="14.25">
      <c r="A17" s="38" t="s">
        <v>439</v>
      </c>
      <c r="B17" s="83">
        <v>77773233</v>
      </c>
      <c r="C17" s="83">
        <v>-29678372.39</v>
      </c>
      <c r="D17" s="83">
        <v>48094860.61</v>
      </c>
      <c r="E17" s="83">
        <v>42904783.98</v>
      </c>
      <c r="F17" s="127">
        <v>42732393.94</v>
      </c>
      <c r="G17" s="125">
        <f t="shared" si="0"/>
        <v>5190076.630000003</v>
      </c>
    </row>
    <row r="18" spans="1:7" ht="14.25">
      <c r="A18" s="38" t="s">
        <v>470</v>
      </c>
      <c r="B18" s="83">
        <v>156314807</v>
      </c>
      <c r="C18" s="83">
        <v>971399.26</v>
      </c>
      <c r="D18" s="83">
        <v>157286206.26</v>
      </c>
      <c r="E18" s="83">
        <v>152916205.37</v>
      </c>
      <c r="F18" s="127">
        <v>152625808.68</v>
      </c>
      <c r="G18" s="125">
        <f t="shared" si="0"/>
        <v>4370000.889999986</v>
      </c>
    </row>
    <row r="19" spans="1:7" ht="14.25">
      <c r="A19" s="38" t="s">
        <v>471</v>
      </c>
      <c r="B19" s="83">
        <v>189647546</v>
      </c>
      <c r="C19" s="83">
        <v>-4641777.06</v>
      </c>
      <c r="D19" s="83">
        <v>185005768.94</v>
      </c>
      <c r="E19" s="83">
        <v>180359030.06</v>
      </c>
      <c r="F19" s="127">
        <v>180044847.97</v>
      </c>
      <c r="G19" s="125">
        <f t="shared" si="0"/>
        <v>4646738.879999995</v>
      </c>
    </row>
    <row r="20" spans="1:7" ht="14.25">
      <c r="A20" s="38" t="s">
        <v>472</v>
      </c>
      <c r="B20" s="83">
        <v>24329275</v>
      </c>
      <c r="C20" s="83">
        <v>-8705621.28</v>
      </c>
      <c r="D20" s="83">
        <v>15623653.72</v>
      </c>
      <c r="E20" s="83">
        <v>14231240.03</v>
      </c>
      <c r="F20" s="127">
        <v>14167380.34</v>
      </c>
      <c r="G20" s="125">
        <f t="shared" si="0"/>
        <v>1392413.6900000013</v>
      </c>
    </row>
    <row r="21" spans="1:7" ht="28.5">
      <c r="A21" s="80" t="s">
        <v>473</v>
      </c>
      <c r="B21" s="83">
        <v>120002765</v>
      </c>
      <c r="C21" s="83">
        <v>-11627434.45</v>
      </c>
      <c r="D21" s="83">
        <v>108375330.55</v>
      </c>
      <c r="E21" s="83">
        <v>89812040.06</v>
      </c>
      <c r="F21" s="127">
        <v>89717476.69</v>
      </c>
      <c r="G21" s="125">
        <f t="shared" si="0"/>
        <v>18563290.489999995</v>
      </c>
    </row>
    <row r="22" spans="1:7" ht="14.25">
      <c r="A22" s="38" t="s">
        <v>440</v>
      </c>
      <c r="B22" s="83">
        <v>69649900</v>
      </c>
      <c r="C22" s="83">
        <v>-8015668.54</v>
      </c>
      <c r="D22" s="83">
        <v>61634231.46</v>
      </c>
      <c r="E22" s="83">
        <v>59837767.02</v>
      </c>
      <c r="F22" s="127">
        <v>59685085.82</v>
      </c>
      <c r="G22" s="125">
        <f t="shared" si="0"/>
        <v>1796464.4399999976</v>
      </c>
    </row>
    <row r="23" spans="1:7" ht="14.25">
      <c r="A23" s="38" t="s">
        <v>474</v>
      </c>
      <c r="B23" s="83">
        <v>615294218</v>
      </c>
      <c r="C23" s="83">
        <v>64832995.37</v>
      </c>
      <c r="D23" s="83">
        <v>680127213.37</v>
      </c>
      <c r="E23" s="83">
        <v>657938804.48</v>
      </c>
      <c r="F23" s="127">
        <v>655655762.92</v>
      </c>
      <c r="G23" s="125">
        <f t="shared" si="0"/>
        <v>22188408.889999986</v>
      </c>
    </row>
    <row r="24" spans="1:7" ht="14.25">
      <c r="A24" s="38" t="s">
        <v>441</v>
      </c>
      <c r="B24" s="83">
        <v>90271455</v>
      </c>
      <c r="C24" s="83">
        <v>-5261322.03</v>
      </c>
      <c r="D24" s="83">
        <v>85010132.97</v>
      </c>
      <c r="E24" s="83">
        <v>75524598.87</v>
      </c>
      <c r="F24" s="127">
        <v>75336814.45</v>
      </c>
      <c r="G24" s="125">
        <f t="shared" si="0"/>
        <v>9485534.099999994</v>
      </c>
    </row>
    <row r="25" spans="1:7" ht="14.25">
      <c r="A25" s="38" t="s">
        <v>442</v>
      </c>
      <c r="B25" s="83">
        <v>34952379</v>
      </c>
      <c r="C25" s="83">
        <v>-2178686.22</v>
      </c>
      <c r="D25" s="83">
        <v>32773692.78</v>
      </c>
      <c r="E25" s="83">
        <v>25949963.18</v>
      </c>
      <c r="F25" s="127">
        <v>25889953.04</v>
      </c>
      <c r="G25" s="125">
        <f t="shared" si="0"/>
        <v>6823729.6000000015</v>
      </c>
    </row>
    <row r="26" spans="1:7" ht="14.25">
      <c r="A26" s="38" t="s">
        <v>475</v>
      </c>
      <c r="B26" s="83">
        <v>71130029</v>
      </c>
      <c r="C26" s="83">
        <v>3196616.48</v>
      </c>
      <c r="D26" s="83">
        <v>74326645.48</v>
      </c>
      <c r="E26" s="83">
        <v>70224616.55</v>
      </c>
      <c r="F26" s="127">
        <v>69976424.35</v>
      </c>
      <c r="G26" s="125">
        <f t="shared" si="0"/>
        <v>4102028.930000007</v>
      </c>
    </row>
    <row r="27" spans="1:7" ht="14.25">
      <c r="A27" s="38" t="s">
        <v>443</v>
      </c>
      <c r="B27" s="83">
        <v>411412034</v>
      </c>
      <c r="C27" s="83">
        <v>-69396931.4</v>
      </c>
      <c r="D27" s="83">
        <v>342015102.6</v>
      </c>
      <c r="E27" s="83">
        <v>332734874.48</v>
      </c>
      <c r="F27" s="127">
        <v>331288146.88</v>
      </c>
      <c r="G27" s="125">
        <f t="shared" si="0"/>
        <v>9280228.120000005</v>
      </c>
    </row>
    <row r="28" spans="1:7" ht="14.25">
      <c r="A28" s="38" t="s">
        <v>460</v>
      </c>
      <c r="B28" s="83">
        <v>169916369</v>
      </c>
      <c r="C28" s="83">
        <v>-15310400</v>
      </c>
      <c r="D28" s="83">
        <v>154605969</v>
      </c>
      <c r="E28" s="83">
        <v>0</v>
      </c>
      <c r="F28" s="83">
        <v>0</v>
      </c>
      <c r="G28" s="125">
        <f t="shared" si="0"/>
        <v>154605969</v>
      </c>
    </row>
    <row r="29" spans="1:7" ht="14.25">
      <c r="A29" s="38" t="s">
        <v>444</v>
      </c>
      <c r="B29" s="83">
        <v>273144349</v>
      </c>
      <c r="C29" s="83">
        <v>11140921.08</v>
      </c>
      <c r="D29" s="83">
        <v>284285270.08</v>
      </c>
      <c r="E29" s="83">
        <v>274671533.11</v>
      </c>
      <c r="F29" s="127">
        <v>274671533.11</v>
      </c>
      <c r="G29" s="125">
        <f t="shared" si="0"/>
        <v>9613736.969999969</v>
      </c>
    </row>
    <row r="30" spans="1:7" ht="14.25">
      <c r="A30" s="38" t="s">
        <v>445</v>
      </c>
      <c r="B30" s="83">
        <v>247532125</v>
      </c>
      <c r="C30" s="83">
        <v>93720</v>
      </c>
      <c r="D30" s="83">
        <v>247625845</v>
      </c>
      <c r="E30" s="83">
        <v>247625845</v>
      </c>
      <c r="F30" s="127">
        <v>247625845</v>
      </c>
      <c r="G30" s="125">
        <f t="shared" si="0"/>
        <v>0</v>
      </c>
    </row>
    <row r="31" spans="1:7" ht="14.25">
      <c r="A31" s="38" t="s">
        <v>446</v>
      </c>
      <c r="B31" s="83">
        <v>329565020</v>
      </c>
      <c r="C31" s="83">
        <v>-4039108</v>
      </c>
      <c r="D31" s="83">
        <v>325525912</v>
      </c>
      <c r="E31" s="83">
        <v>325525912</v>
      </c>
      <c r="F31" s="127">
        <v>325525912</v>
      </c>
      <c r="G31" s="125">
        <f t="shared" si="0"/>
        <v>0</v>
      </c>
    </row>
    <row r="32" spans="1:7" ht="14.25">
      <c r="A32" s="38" t="s">
        <v>447</v>
      </c>
      <c r="B32" s="124">
        <v>276083515</v>
      </c>
      <c r="C32" s="124">
        <v>32569423.95</v>
      </c>
      <c r="D32" s="124">
        <v>308652938.95</v>
      </c>
      <c r="E32" s="124">
        <v>308652938.95</v>
      </c>
      <c r="F32" s="127">
        <v>308652938.95</v>
      </c>
      <c r="G32" s="125">
        <f t="shared" si="0"/>
        <v>0</v>
      </c>
    </row>
    <row r="33" spans="1:7" ht="14.25">
      <c r="A33" s="38" t="s">
        <v>448</v>
      </c>
      <c r="B33" s="83">
        <v>2700654341</v>
      </c>
      <c r="C33" s="83">
        <v>191304261.02</v>
      </c>
      <c r="D33" s="83">
        <v>2891958602.02</v>
      </c>
      <c r="E33" s="83">
        <v>2728497228.91</v>
      </c>
      <c r="F33" s="127">
        <v>2726536414.1</v>
      </c>
      <c r="G33" s="125">
        <f t="shared" si="0"/>
        <v>163461373.11000013</v>
      </c>
    </row>
    <row r="34" spans="1:7" ht="14.25">
      <c r="A34" s="38" t="s">
        <v>449</v>
      </c>
      <c r="B34" s="83">
        <v>47151000</v>
      </c>
      <c r="C34" s="83">
        <v>30762319.06</v>
      </c>
      <c r="D34" s="83">
        <v>77913319.06</v>
      </c>
      <c r="E34" s="83">
        <v>62532159.53</v>
      </c>
      <c r="F34" s="127">
        <v>62532159.53</v>
      </c>
      <c r="G34" s="125">
        <f t="shared" si="0"/>
        <v>15381159.530000001</v>
      </c>
    </row>
    <row r="35" spans="1:7" ht="14.25">
      <c r="A35" s="38" t="s">
        <v>450</v>
      </c>
      <c r="B35" s="83">
        <v>2805077157</v>
      </c>
      <c r="C35" s="83">
        <v>-33987699.78</v>
      </c>
      <c r="D35" s="83">
        <v>2771089457.22</v>
      </c>
      <c r="E35" s="83">
        <v>2761595378.79</v>
      </c>
      <c r="F35" s="127">
        <v>2735635328.79</v>
      </c>
      <c r="G35" s="125">
        <f t="shared" si="0"/>
        <v>9494078.429999828</v>
      </c>
    </row>
    <row r="36" spans="1:7" ht="14.25">
      <c r="A36" s="39" t="s">
        <v>146</v>
      </c>
      <c r="B36" s="84"/>
      <c r="C36" s="84"/>
      <c r="D36" s="84"/>
      <c r="E36" s="84"/>
      <c r="F36" s="84"/>
      <c r="G36" s="84"/>
    </row>
    <row r="37" spans="1:7" ht="14.25">
      <c r="A37" s="22" t="s">
        <v>379</v>
      </c>
      <c r="B37" s="85">
        <f>SUM(B39:cbvbcvbcv)</f>
        <v>11042353021</v>
      </c>
      <c r="C37" s="85">
        <f>SUM(C39:GASTO_E_FIN_02)</f>
        <v>1938748779.9399998</v>
      </c>
      <c r="D37" s="85">
        <f>SUM(D39:cvbcvbcbv)</f>
        <v>12981101800.94</v>
      </c>
      <c r="E37" s="85">
        <f>SUM(E39:GASTO_E_FIN_04)</f>
        <v>12805351478.27</v>
      </c>
      <c r="F37" s="85">
        <f>SUM(F39:GASTO_E_FIN_05)</f>
        <v>12796156331.760002</v>
      </c>
      <c r="G37" s="130">
        <f>SUM(G39:GASTO_E_FIN_06)</f>
        <v>175750322.6700006</v>
      </c>
    </row>
    <row r="38" spans="1:7" ht="28.5">
      <c r="A38" s="80" t="s">
        <v>465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31">
        <f>+D38-E38</f>
        <v>0</v>
      </c>
    </row>
    <row r="39" spans="1:7" ht="14.25">
      <c r="A39" s="38" t="s">
        <v>466</v>
      </c>
      <c r="B39" s="83">
        <v>79708495</v>
      </c>
      <c r="C39" s="83">
        <v>-13850930.08</v>
      </c>
      <c r="D39" s="83">
        <v>65857564.92</v>
      </c>
      <c r="E39" s="83">
        <v>45785388.59</v>
      </c>
      <c r="F39" s="127">
        <v>45785388.59</v>
      </c>
      <c r="G39" s="131">
        <f aca="true" t="shared" si="1" ref="G39:G44">+D39-E39</f>
        <v>20072176.33</v>
      </c>
    </row>
    <row r="40" spans="1:7" ht="14.25">
      <c r="A40" s="38" t="s">
        <v>467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31">
        <f t="shared" si="1"/>
        <v>0</v>
      </c>
    </row>
    <row r="41" spans="1:7" ht="28.5">
      <c r="A41" s="80" t="s">
        <v>468</v>
      </c>
      <c r="B41" s="127">
        <v>0</v>
      </c>
      <c r="C41" s="127">
        <v>22825409.45</v>
      </c>
      <c r="D41" s="127">
        <v>22825409.45</v>
      </c>
      <c r="E41" s="127">
        <v>11412704.65</v>
      </c>
      <c r="F41" s="127">
        <v>11412704.65</v>
      </c>
      <c r="G41" s="131">
        <f t="shared" si="1"/>
        <v>11412704.799999999</v>
      </c>
    </row>
    <row r="42" spans="1:7" ht="14.25">
      <c r="A42" s="38" t="s">
        <v>437</v>
      </c>
      <c r="B42" s="83">
        <v>4914170123</v>
      </c>
      <c r="C42" s="83">
        <v>356042998.24</v>
      </c>
      <c r="D42" s="83">
        <v>5270213121.24</v>
      </c>
      <c r="E42" s="83">
        <v>5270213118.24</v>
      </c>
      <c r="F42" s="127">
        <v>5270213118.24</v>
      </c>
      <c r="G42" s="131">
        <f t="shared" si="1"/>
        <v>3</v>
      </c>
    </row>
    <row r="43" spans="1:7" ht="14.25">
      <c r="A43" s="38" t="s">
        <v>438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31">
        <f>+D43-E43</f>
        <v>0</v>
      </c>
    </row>
    <row r="44" spans="1:7" ht="14.25">
      <c r="A44" s="80" t="s">
        <v>469</v>
      </c>
      <c r="B44" s="83">
        <v>407523591</v>
      </c>
      <c r="C44" s="83">
        <v>27765935.56</v>
      </c>
      <c r="D44" s="83">
        <v>435289526.56</v>
      </c>
      <c r="E44" s="83">
        <v>377177817.33</v>
      </c>
      <c r="F44" s="127">
        <v>369900360.93</v>
      </c>
      <c r="G44" s="131">
        <f t="shared" si="1"/>
        <v>58111709.23000002</v>
      </c>
    </row>
    <row r="45" spans="1:7" ht="14.25">
      <c r="A45" s="38" t="s">
        <v>439</v>
      </c>
      <c r="B45" s="83">
        <v>15000000</v>
      </c>
      <c r="C45" s="83">
        <v>-97650.09</v>
      </c>
      <c r="D45" s="83">
        <v>14902349.91</v>
      </c>
      <c r="E45" s="83">
        <v>0</v>
      </c>
      <c r="F45" s="83">
        <v>0</v>
      </c>
      <c r="G45" s="83">
        <f>D45-E45</f>
        <v>14902349.91</v>
      </c>
    </row>
    <row r="46" spans="1:7" ht="14.25">
      <c r="A46" s="38" t="s">
        <v>470</v>
      </c>
      <c r="B46" s="83">
        <v>38000000</v>
      </c>
      <c r="C46" s="83">
        <v>3467584.52</v>
      </c>
      <c r="D46" s="83">
        <v>41467584.52</v>
      </c>
      <c r="E46" s="83">
        <v>37254688.62</v>
      </c>
      <c r="F46" s="127">
        <v>37254688.62</v>
      </c>
      <c r="G46" s="83">
        <f>D46-E46</f>
        <v>4212895.900000006</v>
      </c>
    </row>
    <row r="47" spans="1:7" ht="14.25">
      <c r="A47" s="38" t="s">
        <v>471</v>
      </c>
      <c r="B47" s="83">
        <v>52464666</v>
      </c>
      <c r="C47" s="83">
        <v>-49351933.6</v>
      </c>
      <c r="D47" s="83">
        <v>3112732.4</v>
      </c>
      <c r="E47" s="83">
        <v>1556366.2</v>
      </c>
      <c r="F47" s="83">
        <v>1556366.2</v>
      </c>
      <c r="G47" s="83">
        <f>D47-E47</f>
        <v>1556366.2</v>
      </c>
    </row>
    <row r="48" spans="1:7" ht="14.25">
      <c r="A48" s="38" t="s">
        <v>472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f>+D48-E48</f>
        <v>0</v>
      </c>
    </row>
    <row r="49" spans="1:7" ht="28.5">
      <c r="A49" s="80" t="s">
        <v>473</v>
      </c>
      <c r="B49" s="127">
        <v>50000000</v>
      </c>
      <c r="C49" s="127">
        <v>-139898.87</v>
      </c>
      <c r="D49" s="127">
        <v>49860101.13</v>
      </c>
      <c r="E49" s="127">
        <v>36546726.59</v>
      </c>
      <c r="F49" s="127">
        <v>36546726.59</v>
      </c>
      <c r="G49" s="127">
        <f>+D49-E49</f>
        <v>13313374.54</v>
      </c>
    </row>
    <row r="50" spans="1:7" ht="14.25">
      <c r="A50" s="38" t="s">
        <v>440</v>
      </c>
      <c r="B50" s="83">
        <v>0</v>
      </c>
      <c r="C50" s="83">
        <v>8061675.54</v>
      </c>
      <c r="D50" s="83">
        <v>8061675.54</v>
      </c>
      <c r="E50" s="83">
        <v>2418502.66</v>
      </c>
      <c r="F50" s="127">
        <v>2418502.66</v>
      </c>
      <c r="G50" s="83">
        <f>D50-E50</f>
        <v>5643172.88</v>
      </c>
    </row>
    <row r="51" spans="1:7" ht="14.25">
      <c r="A51" s="38" t="s">
        <v>474</v>
      </c>
      <c r="B51" s="83">
        <v>68737832</v>
      </c>
      <c r="C51" s="83">
        <v>51360291.84</v>
      </c>
      <c r="D51" s="83">
        <v>120098123.84</v>
      </c>
      <c r="E51" s="83">
        <v>106132769.25</v>
      </c>
      <c r="F51" s="127">
        <v>106051812.85</v>
      </c>
      <c r="G51" s="83">
        <f>D51-E51</f>
        <v>13965354.590000004</v>
      </c>
    </row>
    <row r="52" spans="1:7" ht="14.25">
      <c r="A52" s="38" t="s">
        <v>441</v>
      </c>
      <c r="B52" s="83">
        <v>30000000</v>
      </c>
      <c r="C52" s="83">
        <v>-4401600</v>
      </c>
      <c r="D52" s="83">
        <v>25598400</v>
      </c>
      <c r="E52" s="83">
        <v>25598387.82</v>
      </c>
      <c r="F52" s="83">
        <v>24095387.81</v>
      </c>
      <c r="G52" s="83">
        <f>D52-E52</f>
        <v>12.179999999701977</v>
      </c>
    </row>
    <row r="53" spans="1:7" ht="14.25">
      <c r="A53" s="38" t="s">
        <v>442</v>
      </c>
      <c r="B53" s="127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f>+D53-E53</f>
        <v>0</v>
      </c>
    </row>
    <row r="54" spans="1:7" ht="14.25">
      <c r="A54" s="38" t="s">
        <v>475</v>
      </c>
      <c r="B54" s="127">
        <v>0</v>
      </c>
      <c r="C54" s="127">
        <v>534.28</v>
      </c>
      <c r="D54" s="127">
        <v>534.28</v>
      </c>
      <c r="E54" s="127">
        <v>534.28</v>
      </c>
      <c r="F54" s="127">
        <v>534.28</v>
      </c>
      <c r="G54" s="127">
        <f>+D54-E54</f>
        <v>0</v>
      </c>
    </row>
    <row r="55" spans="1:7" ht="14.25">
      <c r="A55" s="38" t="s">
        <v>443</v>
      </c>
      <c r="B55" s="83">
        <v>43506250</v>
      </c>
      <c r="C55" s="83">
        <v>5100269.14</v>
      </c>
      <c r="D55" s="83">
        <v>48606519.14</v>
      </c>
      <c r="E55" s="83">
        <v>45028830.8</v>
      </c>
      <c r="F55" s="127">
        <v>45028830.8</v>
      </c>
      <c r="G55" s="83">
        <f>D55-E55</f>
        <v>3577688.3400000036</v>
      </c>
    </row>
    <row r="56" spans="1:7" ht="14.25">
      <c r="A56" s="38" t="s">
        <v>460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f>+D56-E56</f>
        <v>0</v>
      </c>
    </row>
    <row r="57" spans="1:7" ht="14.25">
      <c r="A57" s="38" t="s">
        <v>444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f>+D57-E57</f>
        <v>0</v>
      </c>
    </row>
    <row r="58" spans="1:7" ht="14.25">
      <c r="A58" s="38" t="s">
        <v>445</v>
      </c>
      <c r="B58" s="127">
        <v>0</v>
      </c>
      <c r="C58" s="127">
        <v>1721118.85</v>
      </c>
      <c r="D58" s="127">
        <v>1721118.85</v>
      </c>
      <c r="E58" s="127">
        <v>1721118.85</v>
      </c>
      <c r="F58" s="127">
        <v>1721118.85</v>
      </c>
      <c r="G58" s="127">
        <f>+D58-E58</f>
        <v>0</v>
      </c>
    </row>
    <row r="59" spans="1:7" ht="14.25">
      <c r="A59" s="38" t="s">
        <v>446</v>
      </c>
      <c r="B59" s="127">
        <v>0</v>
      </c>
      <c r="C59" s="127">
        <v>5000000</v>
      </c>
      <c r="D59" s="127">
        <v>5000000</v>
      </c>
      <c r="E59" s="127">
        <v>2306787.88</v>
      </c>
      <c r="F59" s="127">
        <v>2306787.88</v>
      </c>
      <c r="G59" s="127">
        <f>+D59-E59</f>
        <v>2693212.12</v>
      </c>
    </row>
    <row r="60" spans="1:7" ht="14.25">
      <c r="A60" s="38" t="s">
        <v>447</v>
      </c>
      <c r="B60" s="127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f>+D60-E60</f>
        <v>0</v>
      </c>
    </row>
    <row r="61" spans="1:7" ht="14.25">
      <c r="A61" s="38" t="s">
        <v>448</v>
      </c>
      <c r="B61" s="83">
        <v>3651028089</v>
      </c>
      <c r="C61" s="83">
        <v>1354388135.06</v>
      </c>
      <c r="D61" s="83">
        <v>5005416224.06</v>
      </c>
      <c r="E61" s="83">
        <v>4979143226.49</v>
      </c>
      <c r="F61" s="127">
        <v>4978809492.79</v>
      </c>
      <c r="G61" s="83">
        <f>D61-E61</f>
        <v>26272997.57000065</v>
      </c>
    </row>
    <row r="62" spans="1:7" ht="14.25">
      <c r="A62" s="38" t="s">
        <v>449</v>
      </c>
      <c r="B62" s="127">
        <v>0</v>
      </c>
      <c r="C62" s="127">
        <v>22636209.5</v>
      </c>
      <c r="D62" s="127">
        <v>22636209.5</v>
      </c>
      <c r="E62" s="127">
        <v>22636209.5</v>
      </c>
      <c r="F62" s="127">
        <v>22636209.5</v>
      </c>
      <c r="G62" s="127">
        <f>+D62-E62</f>
        <v>0</v>
      </c>
    </row>
    <row r="63" spans="1:7" ht="14.25">
      <c r="A63" s="38" t="s">
        <v>450</v>
      </c>
      <c r="B63" s="83">
        <v>1692213975</v>
      </c>
      <c r="C63" s="83">
        <v>148220630.6</v>
      </c>
      <c r="D63" s="83">
        <v>1840434605.6</v>
      </c>
      <c r="E63" s="83">
        <v>1840418300.52</v>
      </c>
      <c r="F63" s="127">
        <v>1840418300.52</v>
      </c>
      <c r="G63" s="125">
        <f>D63-E63</f>
        <v>16305.079999923706</v>
      </c>
    </row>
    <row r="64" spans="1:7" ht="14.25">
      <c r="A64" s="39" t="s">
        <v>146</v>
      </c>
      <c r="B64" s="28"/>
      <c r="C64" s="28"/>
      <c r="D64" s="28"/>
      <c r="E64" s="28"/>
      <c r="F64" s="28"/>
      <c r="G64" s="28"/>
    </row>
    <row r="65" spans="1:7" ht="14.25">
      <c r="A65" s="22" t="s">
        <v>375</v>
      </c>
      <c r="B65" s="85">
        <f>GASTO_NE_T1+vcvcbvcbcvb</f>
        <v>22349942786</v>
      </c>
      <c r="C65" s="85">
        <f>cvbvcbcbvbc+cvbcbvbcvbvc</f>
        <v>2053982607.9099998</v>
      </c>
      <c r="D65" s="85">
        <f>vcbvbcbdfgfdg+GASTO_E_T3</f>
        <v>24403925393.91</v>
      </c>
      <c r="E65" s="85">
        <f>GASTO_NE_T4+GASTO_E_T4</f>
        <v>23434404356.19</v>
      </c>
      <c r="F65" s="85">
        <f>GASTO_NE_T5+GASTO_E_T5</f>
        <v>23357655441.520004</v>
      </c>
      <c r="G65" s="85">
        <f>GASTO_NE_T6+GASTO_E_T6</f>
        <v>969521037.7200005</v>
      </c>
    </row>
    <row r="66" spans="1:7" ht="14.25">
      <c r="A66" s="34"/>
      <c r="B66" s="117"/>
      <c r="C66" s="117"/>
      <c r="D66" s="117"/>
      <c r="E66" s="117"/>
      <c r="F66" s="117"/>
      <c r="G66" s="117"/>
    </row>
    <row r="67" spans="1:7" ht="14.25" hidden="1">
      <c r="A67"/>
      <c r="B67"/>
      <c r="C67"/>
      <c r="D67"/>
      <c r="E67"/>
      <c r="F67"/>
      <c r="G67"/>
    </row>
    <row r="68" spans="1:7" ht="14.25" hidden="1">
      <c r="A68"/>
      <c r="B68"/>
      <c r="C68"/>
      <c r="D68"/>
      <c r="E68"/>
      <c r="F68"/>
      <c r="G68"/>
    </row>
    <row r="69" spans="1:7" ht="14.25" hidden="1">
      <c r="A69"/>
      <c r="B69"/>
      <c r="C69"/>
      <c r="D69"/>
      <c r="E69"/>
      <c r="F69"/>
      <c r="G69"/>
    </row>
    <row r="70" spans="1:7" ht="14.25" hidden="1">
      <c r="A70"/>
      <c r="B70"/>
      <c r="C70"/>
      <c r="D70"/>
      <c r="E70"/>
      <c r="F70"/>
      <c r="G70"/>
    </row>
    <row r="71" spans="1:7" ht="14.25" hidden="1">
      <c r="A71"/>
      <c r="B71"/>
      <c r="C71"/>
      <c r="D71"/>
      <c r="E71"/>
      <c r="F71"/>
      <c r="G71"/>
    </row>
    <row r="72" spans="1:7" ht="14.25" hidden="1">
      <c r="A72"/>
      <c r="B72"/>
      <c r="C72"/>
      <c r="D72"/>
      <c r="E72"/>
      <c r="F72"/>
      <c r="G72"/>
    </row>
    <row r="73" spans="1:7" ht="14.25" hidden="1">
      <c r="A73"/>
      <c r="B73"/>
      <c r="C73"/>
      <c r="D73"/>
      <c r="E73"/>
      <c r="F73"/>
      <c r="G73"/>
    </row>
    <row r="74" spans="1:7" ht="14.25" hidden="1">
      <c r="A74"/>
      <c r="B74"/>
      <c r="C74"/>
      <c r="D74"/>
      <c r="E74"/>
      <c r="F74"/>
      <c r="G74"/>
    </row>
    <row r="75" spans="1:7" ht="14.25" hidden="1">
      <c r="A75"/>
      <c r="B75"/>
      <c r="C75"/>
      <c r="D75"/>
      <c r="E75"/>
      <c r="F75"/>
      <c r="G75"/>
    </row>
    <row r="76" spans="1:7" ht="14.25" hidden="1">
      <c r="A76"/>
      <c r="B76"/>
      <c r="C76"/>
      <c r="D76"/>
      <c r="E76"/>
      <c r="F76"/>
      <c r="G76"/>
    </row>
    <row r="77" spans="1:7" ht="14.25" hidden="1">
      <c r="A77"/>
      <c r="B77"/>
      <c r="C77"/>
      <c r="D77"/>
      <c r="E77"/>
      <c r="F77"/>
      <c r="G77"/>
    </row>
    <row r="78" spans="1:7" ht="14.25" hidden="1">
      <c r="A78"/>
      <c r="B78"/>
      <c r="C78"/>
      <c r="D78"/>
      <c r="E78"/>
      <c r="F78"/>
      <c r="G78"/>
    </row>
    <row r="79" spans="1:7" ht="14.25" hidden="1">
      <c r="A79"/>
      <c r="B79"/>
      <c r="C79"/>
      <c r="D79"/>
      <c r="E79"/>
      <c r="F79"/>
      <c r="G79"/>
    </row>
    <row r="80" spans="1:7" ht="14.25" hidden="1">
      <c r="A80"/>
      <c r="B80"/>
      <c r="C80"/>
      <c r="D80"/>
      <c r="E80"/>
      <c r="F80"/>
      <c r="G80"/>
    </row>
    <row r="81" spans="1:7" ht="14.25" hidden="1">
      <c r="A81"/>
      <c r="B81"/>
      <c r="C81"/>
      <c r="D81"/>
      <c r="E81"/>
      <c r="F81"/>
      <c r="G81"/>
    </row>
    <row r="82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37:C37 B65:F65 B9:C9 G10:G35 D9:G9 D37:F37 G45:G47 G50:G52 G63 G48:G49 G64:G65 G53:G54 G62" unlockedFormula="1"/>
    <ignoredError sqref="G56:G60 G55 G6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70" zoomScaleNormal="70" zoomScalePageLayoutView="0" workbookViewId="0" topLeftCell="A1">
      <selection activeCell="G77" sqref="G77"/>
    </sheetView>
  </sheetViews>
  <sheetFormatPr defaultColWidth="0.71875" defaultRowHeight="15" zeroHeight="1"/>
  <cols>
    <col min="1" max="1" width="74.57421875" style="37" customWidth="1"/>
    <col min="2" max="6" width="20.7109375" style="37" customWidth="1"/>
    <col min="7" max="7" width="17.8515625" style="37" bestFit="1" customWidth="1"/>
    <col min="8" max="255" width="11.421875" style="0" hidden="1" customWidth="1"/>
  </cols>
  <sheetData>
    <row r="1" spans="1:7" ht="21">
      <c r="A1" s="167" t="s">
        <v>380</v>
      </c>
      <c r="B1" s="157"/>
      <c r="C1" s="157"/>
      <c r="D1" s="157"/>
      <c r="E1" s="157"/>
      <c r="F1" s="157"/>
      <c r="G1" s="157"/>
    </row>
    <row r="2" spans="1:7" ht="14.25">
      <c r="A2" s="142" t="s">
        <v>290</v>
      </c>
      <c r="B2" s="143"/>
      <c r="C2" s="143"/>
      <c r="D2" s="143"/>
      <c r="E2" s="143"/>
      <c r="F2" s="143"/>
      <c r="G2" s="144"/>
    </row>
    <row r="3" spans="1:7" ht="14.25">
      <c r="A3" s="145" t="s">
        <v>381</v>
      </c>
      <c r="B3" s="146"/>
      <c r="C3" s="146"/>
      <c r="D3" s="146"/>
      <c r="E3" s="146"/>
      <c r="F3" s="146"/>
      <c r="G3" s="147"/>
    </row>
    <row r="4" spans="1:7" ht="14.25">
      <c r="A4" s="145" t="s">
        <v>382</v>
      </c>
      <c r="B4" s="146"/>
      <c r="C4" s="146"/>
      <c r="D4" s="146"/>
      <c r="E4" s="146"/>
      <c r="F4" s="146"/>
      <c r="G4" s="147"/>
    </row>
    <row r="5" spans="1:7" ht="14.25">
      <c r="A5" s="148" t="s">
        <v>479</v>
      </c>
      <c r="B5" s="149"/>
      <c r="C5" s="149"/>
      <c r="D5" s="149"/>
      <c r="E5" s="149"/>
      <c r="F5" s="149"/>
      <c r="G5" s="150"/>
    </row>
    <row r="6" spans="1:7" ht="14.25">
      <c r="A6" s="151" t="s">
        <v>2</v>
      </c>
      <c r="B6" s="152"/>
      <c r="C6" s="152"/>
      <c r="D6" s="152"/>
      <c r="E6" s="152"/>
      <c r="F6" s="152"/>
      <c r="G6" s="153"/>
    </row>
    <row r="7" spans="1:7" ht="14.25">
      <c r="A7" s="158" t="s">
        <v>4</v>
      </c>
      <c r="B7" s="151" t="s">
        <v>294</v>
      </c>
      <c r="C7" s="152"/>
      <c r="D7" s="152"/>
      <c r="E7" s="152"/>
      <c r="F7" s="153"/>
      <c r="G7" s="163" t="s">
        <v>383</v>
      </c>
    </row>
    <row r="8" spans="1:7" ht="28.5">
      <c r="A8" s="159"/>
      <c r="B8" s="17" t="s">
        <v>296</v>
      </c>
      <c r="C8" s="6" t="s">
        <v>384</v>
      </c>
      <c r="D8" s="17" t="s">
        <v>298</v>
      </c>
      <c r="E8" s="17" t="s">
        <v>182</v>
      </c>
      <c r="F8" s="29" t="s">
        <v>199</v>
      </c>
      <c r="G8" s="162"/>
    </row>
    <row r="9" spans="1:7" ht="14.25">
      <c r="A9" s="18" t="s">
        <v>385</v>
      </c>
      <c r="B9" s="104">
        <f aca="true" t="shared" si="0" ref="B9:G9">SUM(B10,B19,B27,B37)</f>
        <v>11307589765</v>
      </c>
      <c r="C9" s="104">
        <f>SUM(C10,C19,C27,C37)</f>
        <v>115233827.96999997</v>
      </c>
      <c r="D9" s="104">
        <f t="shared" si="0"/>
        <v>11422823592.97</v>
      </c>
      <c r="E9" s="104">
        <f t="shared" si="0"/>
        <v>10629052877.92</v>
      </c>
      <c r="F9" s="104">
        <f t="shared" si="0"/>
        <v>10561499109.76</v>
      </c>
      <c r="G9" s="104">
        <f t="shared" si="0"/>
        <v>793770715.0499998</v>
      </c>
    </row>
    <row r="10" spans="1:7" ht="14.25">
      <c r="A10" s="19" t="s">
        <v>386</v>
      </c>
      <c r="B10" s="105">
        <f aca="true" t="shared" si="1" ref="B10:G10">SUM(B11:B18)</f>
        <v>3797791986</v>
      </c>
      <c r="C10" s="105">
        <f t="shared" si="1"/>
        <v>-66586038.72000001</v>
      </c>
      <c r="D10" s="105">
        <f t="shared" si="1"/>
        <v>3731205947.2799997</v>
      </c>
      <c r="E10" s="105">
        <f t="shared" si="1"/>
        <v>3246584759.66</v>
      </c>
      <c r="F10" s="105">
        <f t="shared" si="1"/>
        <v>3238515805.57</v>
      </c>
      <c r="G10" s="105">
        <f t="shared" si="1"/>
        <v>484621187.62</v>
      </c>
    </row>
    <row r="11" spans="1:7" ht="14.25">
      <c r="A11" s="20" t="s">
        <v>387</v>
      </c>
      <c r="B11" s="105">
        <v>247532125</v>
      </c>
      <c r="C11" s="105">
        <v>93720</v>
      </c>
      <c r="D11" s="105">
        <v>247625845</v>
      </c>
      <c r="E11" s="105">
        <v>247625845</v>
      </c>
      <c r="F11" s="105">
        <v>247625845</v>
      </c>
      <c r="G11" s="105">
        <f>D11-E11</f>
        <v>0</v>
      </c>
    </row>
    <row r="12" spans="1:7" ht="14.25">
      <c r="A12" s="20" t="s">
        <v>388</v>
      </c>
      <c r="B12" s="105">
        <v>1027098570</v>
      </c>
      <c r="C12" s="105">
        <v>-63836885.88</v>
      </c>
      <c r="D12" s="105">
        <v>963261684.12</v>
      </c>
      <c r="E12" s="105">
        <v>918424303.86</v>
      </c>
      <c r="F12" s="105">
        <v>916394264.51</v>
      </c>
      <c r="G12" s="105">
        <f aca="true" t="shared" si="2" ref="G12:G18">D12-E12</f>
        <v>44837380.25999999</v>
      </c>
    </row>
    <row r="13" spans="1:7" ht="14.25">
      <c r="A13" s="20" t="s">
        <v>389</v>
      </c>
      <c r="B13" s="105">
        <v>777509044</v>
      </c>
      <c r="C13" s="105">
        <v>-46583275.64</v>
      </c>
      <c r="D13" s="105">
        <v>730925768.36</v>
      </c>
      <c r="E13" s="105">
        <v>701469962.35</v>
      </c>
      <c r="F13" s="105">
        <v>700139797.32</v>
      </c>
      <c r="G13" s="105">
        <f t="shared" si="2"/>
        <v>29455806.00999999</v>
      </c>
    </row>
    <row r="14" spans="1:7" ht="14.25">
      <c r="A14" s="20" t="s">
        <v>390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2"/>
        <v>0</v>
      </c>
    </row>
    <row r="15" spans="1:7" ht="14.25">
      <c r="A15" s="20" t="s">
        <v>391</v>
      </c>
      <c r="B15" s="105">
        <v>666933629</v>
      </c>
      <c r="C15" s="105">
        <v>-10315950.17</v>
      </c>
      <c r="D15" s="105">
        <v>656617678.83</v>
      </c>
      <c r="E15" s="105">
        <v>310504485.95</v>
      </c>
      <c r="F15" s="105">
        <v>309170453.12</v>
      </c>
      <c r="G15" s="105">
        <f t="shared" si="2"/>
        <v>346113192.88000005</v>
      </c>
    </row>
    <row r="16" spans="1:7" ht="14.25">
      <c r="A16" s="20" t="s">
        <v>392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2"/>
        <v>0</v>
      </c>
    </row>
    <row r="17" spans="1:7" ht="14.25">
      <c r="A17" s="20" t="s">
        <v>393</v>
      </c>
      <c r="B17" s="105">
        <v>793344009</v>
      </c>
      <c r="C17" s="105">
        <v>38053860.64</v>
      </c>
      <c r="D17" s="105">
        <v>831397869.64</v>
      </c>
      <c r="E17" s="105">
        <v>795073187.63</v>
      </c>
      <c r="F17" s="105">
        <v>792443171.05</v>
      </c>
      <c r="G17" s="105">
        <f t="shared" si="2"/>
        <v>36324682.00999999</v>
      </c>
    </row>
    <row r="18" spans="1:7" ht="14.25">
      <c r="A18" s="20" t="s">
        <v>394</v>
      </c>
      <c r="B18" s="105">
        <v>285374609</v>
      </c>
      <c r="C18" s="105">
        <v>16002492.33</v>
      </c>
      <c r="D18" s="105">
        <v>301377101.33</v>
      </c>
      <c r="E18" s="105">
        <v>273486974.87</v>
      </c>
      <c r="F18" s="105">
        <v>272742274.57</v>
      </c>
      <c r="G18" s="105">
        <f t="shared" si="2"/>
        <v>27890126.45999998</v>
      </c>
    </row>
    <row r="19" spans="1:7" ht="14.25">
      <c r="A19" s="19" t="s">
        <v>395</v>
      </c>
      <c r="B19" s="105">
        <f aca="true" t="shared" si="3" ref="B19:G19">SUM(B20:B26)</f>
        <v>3806137309</v>
      </c>
      <c r="C19" s="105">
        <f t="shared" si="3"/>
        <v>222430691.14</v>
      </c>
      <c r="D19" s="105">
        <f t="shared" si="3"/>
        <v>4028568000.14</v>
      </c>
      <c r="E19" s="105">
        <f t="shared" si="3"/>
        <v>3799710212.23</v>
      </c>
      <c r="F19" s="105">
        <f t="shared" si="3"/>
        <v>3789514668.9199996</v>
      </c>
      <c r="G19" s="105">
        <f t="shared" si="3"/>
        <v>228857787.91000003</v>
      </c>
    </row>
    <row r="20" spans="1:7" ht="14.25">
      <c r="A20" s="20" t="s">
        <v>396</v>
      </c>
      <c r="B20" s="105">
        <v>53407678</v>
      </c>
      <c r="C20" s="105">
        <v>-912688.49</v>
      </c>
      <c r="D20" s="105">
        <v>52494989.51</v>
      </c>
      <c r="E20" s="105">
        <v>48922340.35</v>
      </c>
      <c r="F20" s="105">
        <v>48807708.19</v>
      </c>
      <c r="G20" s="105">
        <f>D20-E20</f>
        <v>3572649.1599999964</v>
      </c>
    </row>
    <row r="21" spans="1:7" ht="14.25">
      <c r="A21" s="20" t="s">
        <v>397</v>
      </c>
      <c r="B21" s="105">
        <v>286471915</v>
      </c>
      <c r="C21" s="105">
        <v>119678947.01</v>
      </c>
      <c r="D21" s="105">
        <v>406150862.01</v>
      </c>
      <c r="E21" s="105">
        <v>338304695.65</v>
      </c>
      <c r="F21" s="105">
        <v>332068840.39</v>
      </c>
      <c r="G21" s="105">
        <f aca="true" t="shared" si="4" ref="G21:G26">D21-E21</f>
        <v>67846166.36000001</v>
      </c>
    </row>
    <row r="22" spans="1:7" ht="14.25">
      <c r="A22" s="20" t="s">
        <v>398</v>
      </c>
      <c r="B22" s="105">
        <v>756711742</v>
      </c>
      <c r="C22" s="105">
        <v>16347598.45</v>
      </c>
      <c r="D22" s="105">
        <v>773059340.45</v>
      </c>
      <c r="E22" s="105">
        <v>720093298.73</v>
      </c>
      <c r="F22" s="105">
        <v>718665569.81</v>
      </c>
      <c r="G22" s="105">
        <f t="shared" si="4"/>
        <v>52966041.72000003</v>
      </c>
    </row>
    <row r="23" spans="1:7" ht="14.25">
      <c r="A23" s="20" t="s">
        <v>399</v>
      </c>
      <c r="B23" s="105">
        <v>294481873</v>
      </c>
      <c r="C23" s="105">
        <v>-16581814.71</v>
      </c>
      <c r="D23" s="105">
        <v>277900058.29</v>
      </c>
      <c r="E23" s="105">
        <v>271026479.61</v>
      </c>
      <c r="F23" s="105">
        <v>270588760.34</v>
      </c>
      <c r="G23" s="105">
        <f t="shared" si="4"/>
        <v>6873578.680000007</v>
      </c>
    </row>
    <row r="24" spans="1:7" ht="14.25">
      <c r="A24" s="20" t="s">
        <v>400</v>
      </c>
      <c r="B24" s="105">
        <v>1907117585</v>
      </c>
      <c r="C24" s="105">
        <v>61691601.32</v>
      </c>
      <c r="D24" s="105">
        <v>1968809186.32</v>
      </c>
      <c r="E24" s="105">
        <v>1915117432.82</v>
      </c>
      <c r="F24" s="105">
        <v>1913741699.37</v>
      </c>
      <c r="G24" s="105">
        <f t="shared" si="4"/>
        <v>53691753.5</v>
      </c>
    </row>
    <row r="25" spans="1:7" ht="14.25">
      <c r="A25" s="20" t="s">
        <v>401</v>
      </c>
      <c r="B25" s="105">
        <v>273169783</v>
      </c>
      <c r="C25" s="105">
        <v>63586457</v>
      </c>
      <c r="D25" s="105">
        <v>336756240</v>
      </c>
      <c r="E25" s="105">
        <v>302097491.36</v>
      </c>
      <c r="F25" s="105">
        <v>302097491.36</v>
      </c>
      <c r="G25" s="105">
        <f t="shared" si="4"/>
        <v>34658748.639999986</v>
      </c>
    </row>
    <row r="26" spans="1:7" ht="14.25">
      <c r="A26" s="20" t="s">
        <v>402</v>
      </c>
      <c r="B26" s="105">
        <v>234776733</v>
      </c>
      <c r="C26" s="105">
        <v>-21379409.44</v>
      </c>
      <c r="D26" s="105">
        <v>213397323.56</v>
      </c>
      <c r="E26" s="105">
        <v>204148473.71</v>
      </c>
      <c r="F26" s="105">
        <v>203544599.46</v>
      </c>
      <c r="G26" s="105">
        <f t="shared" si="4"/>
        <v>9248849.849999994</v>
      </c>
    </row>
    <row r="27" spans="1:7" ht="14.25">
      <c r="A27" s="19" t="s">
        <v>403</v>
      </c>
      <c r="B27" s="105">
        <f aca="true" t="shared" si="5" ref="B27:G27">SUM(B28:B36)</f>
        <v>625438964</v>
      </c>
      <c r="C27" s="105">
        <f t="shared" si="5"/>
        <v>-17764045.75</v>
      </c>
      <c r="D27" s="105">
        <f t="shared" si="5"/>
        <v>607674918.25</v>
      </c>
      <c r="E27" s="105">
        <f t="shared" si="5"/>
        <v>546490994.13</v>
      </c>
      <c r="F27" s="105">
        <f t="shared" si="5"/>
        <v>523161773.37</v>
      </c>
      <c r="G27" s="105">
        <f t="shared" si="5"/>
        <v>61183924.119999975</v>
      </c>
    </row>
    <row r="28" spans="1:7" ht="14.25">
      <c r="A28" s="35" t="s">
        <v>404</v>
      </c>
      <c r="B28" s="105">
        <v>121194139</v>
      </c>
      <c r="C28" s="105">
        <v>-210678.01</v>
      </c>
      <c r="D28" s="105">
        <v>120983460.99</v>
      </c>
      <c r="E28" s="105">
        <v>100985981.13</v>
      </c>
      <c r="F28" s="105">
        <v>100745501.5</v>
      </c>
      <c r="G28" s="105">
        <f>D28-E28</f>
        <v>19997479.86</v>
      </c>
    </row>
    <row r="29" spans="1:7" ht="14.25">
      <c r="A29" s="20" t="s">
        <v>405</v>
      </c>
      <c r="B29" s="105">
        <v>219165042</v>
      </c>
      <c r="C29" s="105">
        <v>17145585.72</v>
      </c>
      <c r="D29" s="105">
        <v>236310627.72</v>
      </c>
      <c r="E29" s="105">
        <v>232640133.83</v>
      </c>
      <c r="F29" s="105">
        <v>232277527.18</v>
      </c>
      <c r="G29" s="105">
        <f aca="true" t="shared" si="6" ref="G29:G35">D29-E29</f>
        <v>3670493.8899999857</v>
      </c>
    </row>
    <row r="30" spans="1:7" ht="14.25">
      <c r="A30" s="20" t="s">
        <v>406</v>
      </c>
      <c r="B30" s="105">
        <v>77671083</v>
      </c>
      <c r="C30" s="105">
        <v>-11049978.12</v>
      </c>
      <c r="D30" s="105">
        <v>66621104.88</v>
      </c>
      <c r="E30" s="105">
        <v>51308775.7</v>
      </c>
      <c r="F30" s="105">
        <v>51279610.15</v>
      </c>
      <c r="G30" s="105">
        <f t="shared" si="6"/>
        <v>15312329.18</v>
      </c>
    </row>
    <row r="31" spans="1:7" ht="14.25">
      <c r="A31" s="20" t="s">
        <v>407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6"/>
        <v>0</v>
      </c>
    </row>
    <row r="32" spans="1:7" ht="14.25">
      <c r="A32" s="20" t="s">
        <v>408</v>
      </c>
      <c r="B32" s="105">
        <v>9284645</v>
      </c>
      <c r="C32" s="105">
        <v>-267173.76</v>
      </c>
      <c r="D32" s="105">
        <v>9017471.24</v>
      </c>
      <c r="E32" s="105">
        <v>8328879.88</v>
      </c>
      <c r="F32" s="105">
        <v>8287850.36</v>
      </c>
      <c r="G32" s="105">
        <f t="shared" si="6"/>
        <v>688591.3600000003</v>
      </c>
    </row>
    <row r="33" spans="1:7" ht="14.25">
      <c r="A33" s="20" t="s">
        <v>409</v>
      </c>
      <c r="B33" s="105">
        <v>111479360</v>
      </c>
      <c r="C33" s="105">
        <v>-13882573.37</v>
      </c>
      <c r="D33" s="105">
        <v>97596786.63</v>
      </c>
      <c r="E33" s="105">
        <v>78220833.06</v>
      </c>
      <c r="F33" s="105">
        <v>55789341.41</v>
      </c>
      <c r="G33" s="105">
        <f t="shared" si="6"/>
        <v>19375953.569999993</v>
      </c>
    </row>
    <row r="34" spans="1:7" ht="14.25">
      <c r="A34" s="20" t="s">
        <v>410</v>
      </c>
      <c r="B34" s="105">
        <v>69649900</v>
      </c>
      <c r="C34" s="105">
        <v>-8124862.5</v>
      </c>
      <c r="D34" s="105">
        <v>61525037.5</v>
      </c>
      <c r="E34" s="105">
        <v>59837767.02</v>
      </c>
      <c r="F34" s="105">
        <v>59685085.82</v>
      </c>
      <c r="G34" s="105">
        <f t="shared" si="6"/>
        <v>1687270.4799999967</v>
      </c>
    </row>
    <row r="35" spans="1:7" ht="14.25">
      <c r="A35" s="20" t="s">
        <v>411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6"/>
        <v>0</v>
      </c>
    </row>
    <row r="36" spans="1:7" ht="14.25">
      <c r="A36" s="20" t="s">
        <v>412</v>
      </c>
      <c r="B36" s="105">
        <v>16994795</v>
      </c>
      <c r="C36" s="105">
        <v>-1374365.71</v>
      </c>
      <c r="D36" s="105">
        <v>15620429.29</v>
      </c>
      <c r="E36" s="105">
        <v>15168623.51</v>
      </c>
      <c r="F36" s="105">
        <v>15096856.95</v>
      </c>
      <c r="G36" s="105">
        <f>D36-E36</f>
        <v>451805.77999999933</v>
      </c>
    </row>
    <row r="37" spans="1:7" ht="28.5">
      <c r="A37" s="32" t="s">
        <v>413</v>
      </c>
      <c r="B37" s="105">
        <f aca="true" t="shared" si="7" ref="B37:G37">SUM(B38:B41)</f>
        <v>3078221506</v>
      </c>
      <c r="C37" s="105">
        <f t="shared" si="7"/>
        <v>-22846778.699999996</v>
      </c>
      <c r="D37" s="105">
        <f t="shared" si="7"/>
        <v>3055374727.2999997</v>
      </c>
      <c r="E37" s="105">
        <f t="shared" si="7"/>
        <v>3036266911.9</v>
      </c>
      <c r="F37" s="105">
        <f t="shared" si="7"/>
        <v>3010306861.9</v>
      </c>
      <c r="G37" s="105">
        <f t="shared" si="7"/>
        <v>19107815.3999998</v>
      </c>
    </row>
    <row r="38" spans="1:7" ht="14.25">
      <c r="A38" s="35" t="s">
        <v>414</v>
      </c>
      <c r="B38" s="105">
        <v>223144349</v>
      </c>
      <c r="C38" s="105">
        <v>53563920.7</v>
      </c>
      <c r="D38" s="105">
        <v>276708269.7</v>
      </c>
      <c r="E38" s="105">
        <v>274671533.11</v>
      </c>
      <c r="F38" s="105">
        <v>274671533.11</v>
      </c>
      <c r="G38" s="105">
        <f>+D38-E38</f>
        <v>2036736.5899999738</v>
      </c>
    </row>
    <row r="39" spans="1:7" ht="28.5">
      <c r="A39" s="35" t="s">
        <v>415</v>
      </c>
      <c r="B39" s="105">
        <v>2805077157</v>
      </c>
      <c r="C39" s="105">
        <v>-33987699.78</v>
      </c>
      <c r="D39" s="105">
        <v>2771089457.22</v>
      </c>
      <c r="E39" s="105">
        <v>2761595378.79</v>
      </c>
      <c r="F39" s="105">
        <v>2735635328.79</v>
      </c>
      <c r="G39" s="105">
        <f>+D39-E39</f>
        <v>9494078.429999828</v>
      </c>
    </row>
    <row r="40" spans="1:7" ht="14.25">
      <c r="A40" s="35" t="s">
        <v>416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f>+D40-E40</f>
        <v>0</v>
      </c>
    </row>
    <row r="41" spans="1:7" ht="14.25">
      <c r="A41" s="35" t="s">
        <v>417</v>
      </c>
      <c r="B41" s="105">
        <v>50000000</v>
      </c>
      <c r="C41" s="105">
        <v>-42422999.62</v>
      </c>
      <c r="D41" s="105">
        <v>7577000.38</v>
      </c>
      <c r="E41" s="105">
        <v>0</v>
      </c>
      <c r="F41" s="105">
        <v>0</v>
      </c>
      <c r="G41" s="105">
        <f>+D41-E41</f>
        <v>7577000.38</v>
      </c>
    </row>
    <row r="42" spans="1:7" ht="14.25">
      <c r="A42" s="35"/>
      <c r="B42" s="105"/>
      <c r="C42" s="105"/>
      <c r="D42" s="105"/>
      <c r="E42" s="105"/>
      <c r="F42" s="105"/>
      <c r="G42" s="105"/>
    </row>
    <row r="43" spans="1:7" ht="14.25">
      <c r="A43" s="22" t="s">
        <v>418</v>
      </c>
      <c r="B43" s="106">
        <f aca="true" t="shared" si="8" ref="B43:G43">SUM(B44,B53,B61,B71)</f>
        <v>11042353021</v>
      </c>
      <c r="C43" s="106">
        <f t="shared" si="8"/>
        <v>1938748779.94</v>
      </c>
      <c r="D43" s="106">
        <f t="shared" si="8"/>
        <v>12981101800.940002</v>
      </c>
      <c r="E43" s="106">
        <f t="shared" si="8"/>
        <v>12805351478.27</v>
      </c>
      <c r="F43" s="106">
        <f t="shared" si="8"/>
        <v>12796156331.760002</v>
      </c>
      <c r="G43" s="106">
        <f t="shared" si="8"/>
        <v>175750322.6700001</v>
      </c>
    </row>
    <row r="44" spans="1:7" ht="14.25">
      <c r="A44" s="19" t="s">
        <v>419</v>
      </c>
      <c r="B44" s="105">
        <f aca="true" t="shared" si="9" ref="B44:G44">SUM(B45:B52)</f>
        <v>241952577</v>
      </c>
      <c r="C44" s="105">
        <f t="shared" si="9"/>
        <v>162685939.52</v>
      </c>
      <c r="D44" s="105">
        <f t="shared" si="9"/>
        <v>404638516.52</v>
      </c>
      <c r="E44" s="105">
        <f t="shared" si="9"/>
        <v>352917368.15999997</v>
      </c>
      <c r="F44" s="105">
        <f t="shared" si="9"/>
        <v>351333411.75</v>
      </c>
      <c r="G44" s="105">
        <f t="shared" si="9"/>
        <v>51721148.36</v>
      </c>
    </row>
    <row r="45" spans="1:7" ht="14.25">
      <c r="A45" s="35" t="s">
        <v>387</v>
      </c>
      <c r="B45" s="105">
        <v>0</v>
      </c>
      <c r="C45" s="105">
        <v>1721118.85</v>
      </c>
      <c r="D45" s="105">
        <v>1721118.85</v>
      </c>
      <c r="E45" s="105">
        <v>1721118.85</v>
      </c>
      <c r="F45" s="105">
        <v>1721118.85</v>
      </c>
      <c r="G45" s="105">
        <f>D45-E45</f>
        <v>0</v>
      </c>
    </row>
    <row r="46" spans="1:7" ht="14.25">
      <c r="A46" s="35" t="s">
        <v>388</v>
      </c>
      <c r="B46" s="105">
        <v>48449796</v>
      </c>
      <c r="C46" s="105">
        <v>41087653.4</v>
      </c>
      <c r="D46" s="105">
        <v>89537449.4</v>
      </c>
      <c r="E46" s="105">
        <v>79193559.93</v>
      </c>
      <c r="F46" s="105">
        <v>79193559.93</v>
      </c>
      <c r="G46" s="105">
        <f aca="true" t="shared" si="10" ref="G46:G52">D46-E46</f>
        <v>10343889.469999999</v>
      </c>
    </row>
    <row r="47" spans="1:7" ht="14.25">
      <c r="A47" s="35" t="s">
        <v>389</v>
      </c>
      <c r="B47" s="105">
        <v>0</v>
      </c>
      <c r="C47" s="105">
        <v>122825943.73</v>
      </c>
      <c r="D47" s="105">
        <v>122825943.73</v>
      </c>
      <c r="E47" s="105">
        <v>111413238.93</v>
      </c>
      <c r="F47" s="105">
        <v>111413238.93</v>
      </c>
      <c r="G47" s="105">
        <f t="shared" si="10"/>
        <v>11412704.799999997</v>
      </c>
    </row>
    <row r="48" spans="1:7" ht="14.25">
      <c r="A48" s="35" t="s">
        <v>390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f t="shared" si="10"/>
        <v>0</v>
      </c>
    </row>
    <row r="49" spans="1:7" ht="14.25">
      <c r="A49" s="35" t="s">
        <v>391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f t="shared" si="10"/>
        <v>0</v>
      </c>
    </row>
    <row r="50" spans="1:7" ht="14.25">
      <c r="A50" s="35" t="s">
        <v>392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f t="shared" si="10"/>
        <v>0</v>
      </c>
    </row>
    <row r="51" spans="1:7" ht="14.25">
      <c r="A51" s="35" t="s">
        <v>393</v>
      </c>
      <c r="B51" s="105">
        <v>170502781</v>
      </c>
      <c r="C51" s="105">
        <v>1966918.42</v>
      </c>
      <c r="D51" s="105">
        <v>172469699.42</v>
      </c>
      <c r="E51" s="105">
        <v>145014055.45</v>
      </c>
      <c r="F51" s="105">
        <v>143430099.04</v>
      </c>
      <c r="G51" s="105">
        <f t="shared" si="10"/>
        <v>27455643.97</v>
      </c>
    </row>
    <row r="52" spans="1:7" ht="14.25">
      <c r="A52" s="35" t="s">
        <v>394</v>
      </c>
      <c r="B52" s="105">
        <v>23000000</v>
      </c>
      <c r="C52" s="105">
        <v>-4915694.88</v>
      </c>
      <c r="D52" s="105">
        <v>18084305.12</v>
      </c>
      <c r="E52" s="105">
        <v>15575395</v>
      </c>
      <c r="F52" s="105">
        <v>15575395</v>
      </c>
      <c r="G52" s="105">
        <f t="shared" si="10"/>
        <v>2508910.120000001</v>
      </c>
    </row>
    <row r="53" spans="1:7" ht="14.25">
      <c r="A53" s="19" t="s">
        <v>395</v>
      </c>
      <c r="B53" s="105">
        <f aca="true" t="shared" si="11" ref="B53:G53">SUM(B54:B60)</f>
        <v>8976738219</v>
      </c>
      <c r="C53" s="105">
        <f t="shared" si="11"/>
        <v>1547755185.44</v>
      </c>
      <c r="D53" s="105">
        <f t="shared" si="11"/>
        <v>10524493404.44</v>
      </c>
      <c r="E53" s="105">
        <f t="shared" si="11"/>
        <v>10426946986.31</v>
      </c>
      <c r="F53" s="105">
        <f t="shared" si="11"/>
        <v>10419335796.210001</v>
      </c>
      <c r="G53" s="105">
        <f t="shared" si="11"/>
        <v>97546418.1300002</v>
      </c>
    </row>
    <row r="54" spans="1:7" ht="14.25">
      <c r="A54" s="35" t="s">
        <v>396</v>
      </c>
      <c r="B54" s="105">
        <v>50000000</v>
      </c>
      <c r="C54" s="105">
        <v>-5134909.03</v>
      </c>
      <c r="D54" s="105">
        <v>44865090.97</v>
      </c>
      <c r="E54" s="105">
        <v>31551716.43</v>
      </c>
      <c r="F54" s="105">
        <v>31551716.43</v>
      </c>
      <c r="G54" s="105">
        <f>D54-E54</f>
        <v>13313374.54</v>
      </c>
    </row>
    <row r="55" spans="1:7" ht="14.25">
      <c r="A55" s="35" t="s">
        <v>397</v>
      </c>
      <c r="B55" s="105">
        <v>444061772</v>
      </c>
      <c r="C55" s="105">
        <v>-46090480.61</v>
      </c>
      <c r="D55" s="105">
        <v>397971291.39</v>
      </c>
      <c r="E55" s="105">
        <v>368934444.92</v>
      </c>
      <c r="F55" s="105">
        <v>367916296.07</v>
      </c>
      <c r="G55" s="105">
        <f aca="true" t="shared" si="12" ref="G55:G60">D55-E55</f>
        <v>29036846.46999997</v>
      </c>
    </row>
    <row r="56" spans="1:7" ht="14.25">
      <c r="A56" s="35" t="s">
        <v>398</v>
      </c>
      <c r="B56" s="105">
        <v>1931714766</v>
      </c>
      <c r="C56" s="105">
        <v>575284082.09</v>
      </c>
      <c r="D56" s="105">
        <v>2506998848.09</v>
      </c>
      <c r="E56" s="105">
        <v>2506998848.09</v>
      </c>
      <c r="F56" s="105">
        <v>2506998848.09</v>
      </c>
      <c r="G56" s="105">
        <f t="shared" si="12"/>
        <v>0</v>
      </c>
    </row>
    <row r="57" spans="1:7" ht="14.25">
      <c r="A57" s="36" t="s">
        <v>399</v>
      </c>
      <c r="B57" s="105">
        <v>99123485</v>
      </c>
      <c r="C57" s="105">
        <v>15437610.57</v>
      </c>
      <c r="D57" s="105">
        <v>114561095.57</v>
      </c>
      <c r="E57" s="105">
        <v>80217629.46</v>
      </c>
      <c r="F57" s="105">
        <v>73958321.91</v>
      </c>
      <c r="G57" s="105">
        <f t="shared" si="12"/>
        <v>34343466.11</v>
      </c>
    </row>
    <row r="58" spans="1:7" ht="14.25">
      <c r="A58" s="35" t="s">
        <v>400</v>
      </c>
      <c r="B58" s="105">
        <v>6264746350</v>
      </c>
      <c r="C58" s="105">
        <v>984912601.52</v>
      </c>
      <c r="D58" s="105">
        <v>7249658951.52</v>
      </c>
      <c r="E58" s="105">
        <v>7228806220.51</v>
      </c>
      <c r="F58" s="105">
        <v>7228806220.51</v>
      </c>
      <c r="G58" s="105">
        <f t="shared" si="12"/>
        <v>20852731.01000023</v>
      </c>
    </row>
    <row r="59" spans="1:7" ht="14.25">
      <c r="A59" s="35" t="s">
        <v>401</v>
      </c>
      <c r="B59" s="105">
        <v>142327325</v>
      </c>
      <c r="C59" s="105">
        <v>68110801.9</v>
      </c>
      <c r="D59" s="105">
        <v>210438126.9</v>
      </c>
      <c r="E59" s="105">
        <v>210438126.9</v>
      </c>
      <c r="F59" s="105">
        <v>210104393.2</v>
      </c>
      <c r="G59" s="105">
        <f t="shared" si="12"/>
        <v>0</v>
      </c>
    </row>
    <row r="60" spans="1:7" ht="14.25">
      <c r="A60" s="35" t="s">
        <v>402</v>
      </c>
      <c r="B60" s="105">
        <v>44764521</v>
      </c>
      <c r="C60" s="105">
        <v>-44764521</v>
      </c>
      <c r="D60" s="105">
        <v>0</v>
      </c>
      <c r="E60" s="105">
        <v>0</v>
      </c>
      <c r="F60" s="105">
        <v>0</v>
      </c>
      <c r="G60" s="105">
        <f t="shared" si="12"/>
        <v>0</v>
      </c>
    </row>
    <row r="61" spans="1:7" ht="14.25">
      <c r="A61" s="19" t="s">
        <v>403</v>
      </c>
      <c r="B61" s="105">
        <f aca="true" t="shared" si="13" ref="B61:G61">SUM(B62:B70)</f>
        <v>131448250</v>
      </c>
      <c r="C61" s="105">
        <f t="shared" si="13"/>
        <v>123174132.69000001</v>
      </c>
      <c r="D61" s="105">
        <f t="shared" si="13"/>
        <v>254622382.69</v>
      </c>
      <c r="E61" s="105">
        <f t="shared" si="13"/>
        <v>228141765.35999998</v>
      </c>
      <c r="F61" s="105">
        <f t="shared" si="13"/>
        <v>228141765.35999998</v>
      </c>
      <c r="G61" s="105">
        <f t="shared" si="13"/>
        <v>26480617.33000002</v>
      </c>
    </row>
    <row r="62" spans="1:7" ht="14.25">
      <c r="A62" s="35" t="s">
        <v>404</v>
      </c>
      <c r="B62" s="105">
        <v>15000000</v>
      </c>
      <c r="C62" s="105">
        <v>-97650.09</v>
      </c>
      <c r="D62" s="105">
        <v>14902349.91</v>
      </c>
      <c r="E62" s="105">
        <v>0</v>
      </c>
      <c r="F62" s="105">
        <v>0</v>
      </c>
      <c r="G62" s="105">
        <f>D62-E62</f>
        <v>14902349.91</v>
      </c>
    </row>
    <row r="63" spans="1:7" ht="14.25">
      <c r="A63" s="35" t="s">
        <v>405</v>
      </c>
      <c r="B63" s="105">
        <v>38000000</v>
      </c>
      <c r="C63" s="105">
        <v>33540111.28</v>
      </c>
      <c r="D63" s="105">
        <v>71540111.28</v>
      </c>
      <c r="E63" s="105">
        <v>67327215.38</v>
      </c>
      <c r="F63" s="105">
        <v>67327215.38</v>
      </c>
      <c r="G63" s="105">
        <f aca="true" t="shared" si="14" ref="G63:G70">D63-E63</f>
        <v>4212895.900000006</v>
      </c>
    </row>
    <row r="64" spans="1:7" ht="14.25">
      <c r="A64" s="35" t="s">
        <v>406</v>
      </c>
      <c r="B64" s="105">
        <v>0</v>
      </c>
      <c r="C64" s="105">
        <v>4834926.13</v>
      </c>
      <c r="D64" s="105">
        <v>4834926.13</v>
      </c>
      <c r="E64" s="105">
        <v>4834926.13</v>
      </c>
      <c r="F64" s="105">
        <v>4834926.13</v>
      </c>
      <c r="G64" s="105">
        <f t="shared" si="14"/>
        <v>0</v>
      </c>
    </row>
    <row r="65" spans="1:7" ht="14.25">
      <c r="A65" s="35" t="s">
        <v>407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f t="shared" si="14"/>
        <v>0</v>
      </c>
    </row>
    <row r="66" spans="1:7" ht="14.25">
      <c r="A66" s="35" t="s">
        <v>408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f t="shared" si="14"/>
        <v>0</v>
      </c>
    </row>
    <row r="67" spans="1:7" ht="14.25">
      <c r="A67" s="35" t="s">
        <v>409</v>
      </c>
      <c r="B67" s="105">
        <v>78448250</v>
      </c>
      <c r="C67" s="105">
        <v>76835069.83</v>
      </c>
      <c r="D67" s="105">
        <v>155283319.83</v>
      </c>
      <c r="E67" s="105">
        <v>153561121.19</v>
      </c>
      <c r="F67" s="105">
        <v>153561121.19</v>
      </c>
      <c r="G67" s="105">
        <f t="shared" si="14"/>
        <v>1722198.6400000155</v>
      </c>
    </row>
    <row r="68" spans="1:7" ht="14.25">
      <c r="A68" s="35" t="s">
        <v>410</v>
      </c>
      <c r="B68" s="105">
        <v>0</v>
      </c>
      <c r="C68" s="105">
        <v>8061675.54</v>
      </c>
      <c r="D68" s="105">
        <v>8061675.54</v>
      </c>
      <c r="E68" s="105">
        <v>2418502.66</v>
      </c>
      <c r="F68" s="105">
        <v>2418502.66</v>
      </c>
      <c r="G68" s="105">
        <f t="shared" si="14"/>
        <v>5643172.88</v>
      </c>
    </row>
    <row r="69" spans="1:7" ht="14.25">
      <c r="A69" s="35" t="s">
        <v>411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f t="shared" si="14"/>
        <v>0</v>
      </c>
    </row>
    <row r="70" spans="1:7" ht="14.25">
      <c r="A70" s="35" t="s">
        <v>412</v>
      </c>
      <c r="B70" s="105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f t="shared" si="14"/>
        <v>0</v>
      </c>
    </row>
    <row r="71" spans="1:7" ht="14.25">
      <c r="A71" s="32" t="s">
        <v>420</v>
      </c>
      <c r="B71" s="107">
        <f aca="true" t="shared" si="15" ref="B71:G71">SUM(B72:B75)</f>
        <v>1692213975</v>
      </c>
      <c r="C71" s="107">
        <f t="shared" si="15"/>
        <v>105133522.29</v>
      </c>
      <c r="D71" s="107">
        <f t="shared" si="15"/>
        <v>1797347497.29</v>
      </c>
      <c r="E71" s="107">
        <f t="shared" si="15"/>
        <v>1797345358.44</v>
      </c>
      <c r="F71" s="107">
        <f t="shared" si="15"/>
        <v>1797345358.44</v>
      </c>
      <c r="G71" s="107">
        <f t="shared" si="15"/>
        <v>2138.8499999046326</v>
      </c>
    </row>
    <row r="72" spans="1:7" ht="14.25">
      <c r="A72" s="35" t="s">
        <v>414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f>D72-E72</f>
        <v>0</v>
      </c>
    </row>
    <row r="73" spans="1:7" ht="28.5">
      <c r="A73" s="35" t="s">
        <v>415</v>
      </c>
      <c r="B73" s="105">
        <v>1692213975</v>
      </c>
      <c r="C73" s="105">
        <v>105133522.29</v>
      </c>
      <c r="D73" s="105">
        <v>1797347497.29</v>
      </c>
      <c r="E73" s="105">
        <v>1797345358.44</v>
      </c>
      <c r="F73" s="105">
        <v>1797345358.44</v>
      </c>
      <c r="G73" s="105">
        <f>D73-E73</f>
        <v>2138.8499999046326</v>
      </c>
    </row>
    <row r="74" spans="1:7" ht="14.25">
      <c r="A74" s="35" t="s">
        <v>416</v>
      </c>
      <c r="B74" s="105">
        <v>0</v>
      </c>
      <c r="C74" s="105">
        <v>0</v>
      </c>
      <c r="D74" s="105">
        <v>0</v>
      </c>
      <c r="E74" s="105">
        <v>0</v>
      </c>
      <c r="F74" s="105">
        <v>0</v>
      </c>
      <c r="G74" s="105">
        <f>D74-E74</f>
        <v>0</v>
      </c>
    </row>
    <row r="75" spans="1:7" ht="14.25">
      <c r="A75" s="35" t="s">
        <v>417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f>D75-E75</f>
        <v>0</v>
      </c>
    </row>
    <row r="76" spans="1:7" ht="14.25">
      <c r="A76" s="33"/>
      <c r="B76" s="108"/>
      <c r="C76" s="108"/>
      <c r="D76" s="108"/>
      <c r="E76" s="108"/>
      <c r="F76" s="108"/>
      <c r="G76" s="108"/>
    </row>
    <row r="77" spans="1:7" ht="14.25">
      <c r="A77" s="22" t="s">
        <v>375</v>
      </c>
      <c r="B77" s="106">
        <f aca="true" t="shared" si="16" ref="B77:G77">B43+B9</f>
        <v>22349942786</v>
      </c>
      <c r="C77" s="106">
        <f t="shared" si="16"/>
        <v>2053982607.91</v>
      </c>
      <c r="D77" s="106">
        <f t="shared" si="16"/>
        <v>24403925393.910004</v>
      </c>
      <c r="E77" s="106">
        <f t="shared" si="16"/>
        <v>23434404356.190002</v>
      </c>
      <c r="F77" s="106">
        <f t="shared" si="16"/>
        <v>23357655441.520004</v>
      </c>
      <c r="G77" s="106">
        <f t="shared" si="16"/>
        <v>969521037.7199999</v>
      </c>
    </row>
    <row r="78" spans="1:7" ht="14.25">
      <c r="A78" s="34"/>
      <c r="B78" s="118"/>
      <c r="C78" s="118"/>
      <c r="D78" s="118"/>
      <c r="E78" s="118"/>
      <c r="F78" s="118"/>
      <c r="G78" s="119"/>
    </row>
    <row r="79" ht="14.2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B37 G28:G36 B27:F27 B19:F19 G10:G18 B10:F10 B9:C9 D9:IV9 G38:G41 C37:F37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="70" zoomScaleNormal="8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E20" sqref="E20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64" t="s">
        <v>421</v>
      </c>
      <c r="B1" s="161"/>
      <c r="C1" s="161"/>
      <c r="D1" s="161"/>
      <c r="E1" s="161"/>
      <c r="F1" s="161"/>
      <c r="G1" s="161"/>
    </row>
    <row r="2" spans="1:7" ht="14.25">
      <c r="A2" s="142" t="s">
        <v>290</v>
      </c>
      <c r="B2" s="143"/>
      <c r="C2" s="143"/>
      <c r="D2" s="143"/>
      <c r="E2" s="143"/>
      <c r="F2" s="143"/>
      <c r="G2" s="144"/>
    </row>
    <row r="3" spans="1:7" ht="14.25">
      <c r="A3" s="148" t="s">
        <v>292</v>
      </c>
      <c r="B3" s="149"/>
      <c r="C3" s="149"/>
      <c r="D3" s="149"/>
      <c r="E3" s="149"/>
      <c r="F3" s="149"/>
      <c r="G3" s="150"/>
    </row>
    <row r="4" spans="1:7" ht="14.25">
      <c r="A4" s="148" t="s">
        <v>422</v>
      </c>
      <c r="B4" s="149"/>
      <c r="C4" s="149"/>
      <c r="D4" s="149"/>
      <c r="E4" s="149"/>
      <c r="F4" s="149"/>
      <c r="G4" s="150"/>
    </row>
    <row r="5" spans="1:7" ht="14.25">
      <c r="A5" s="148" t="s">
        <v>479</v>
      </c>
      <c r="B5" s="149"/>
      <c r="C5" s="149"/>
      <c r="D5" s="149"/>
      <c r="E5" s="149"/>
      <c r="F5" s="149"/>
      <c r="G5" s="150"/>
    </row>
    <row r="6" spans="1:7" ht="14.25">
      <c r="A6" s="151" t="s">
        <v>2</v>
      </c>
      <c r="B6" s="152"/>
      <c r="C6" s="152"/>
      <c r="D6" s="152"/>
      <c r="E6" s="152"/>
      <c r="F6" s="152"/>
      <c r="G6" s="153"/>
    </row>
    <row r="7" spans="1:7" ht="14.25">
      <c r="A7" s="158" t="s">
        <v>423</v>
      </c>
      <c r="B7" s="162" t="s">
        <v>294</v>
      </c>
      <c r="C7" s="162"/>
      <c r="D7" s="162"/>
      <c r="E7" s="162"/>
      <c r="F7" s="162"/>
      <c r="G7" s="162" t="s">
        <v>295</v>
      </c>
    </row>
    <row r="8" spans="1:7" ht="28.5">
      <c r="A8" s="159"/>
      <c r="B8" s="6" t="s">
        <v>296</v>
      </c>
      <c r="C8" s="30" t="s">
        <v>384</v>
      </c>
      <c r="D8" s="30" t="s">
        <v>227</v>
      </c>
      <c r="E8" s="30" t="s">
        <v>182</v>
      </c>
      <c r="F8" s="30" t="s">
        <v>199</v>
      </c>
      <c r="G8" s="168"/>
    </row>
    <row r="9" spans="1:7" ht="14.25">
      <c r="A9" s="18" t="s">
        <v>424</v>
      </c>
      <c r="B9" s="109">
        <f aca="true" t="shared" si="0" ref="B9:G9">SUM(B10,B11,B12,B15,B16,B19)</f>
        <v>2825210118</v>
      </c>
      <c r="C9" s="109">
        <f t="shared" si="0"/>
        <v>21682682.03</v>
      </c>
      <c r="D9" s="109">
        <f t="shared" si="0"/>
        <v>2846892800.03</v>
      </c>
      <c r="E9" s="109">
        <f t="shared" si="0"/>
        <v>2747272411.08</v>
      </c>
      <c r="F9" s="109">
        <f>SUM(F10,F11,F12,F15,F16,F19)</f>
        <v>2734442053.08</v>
      </c>
      <c r="G9" s="109">
        <f t="shared" si="0"/>
        <v>99620388.94999981</v>
      </c>
    </row>
    <row r="10" spans="1:7" ht="14.25">
      <c r="A10" s="19" t="s">
        <v>425</v>
      </c>
      <c r="B10" s="110">
        <v>1816326690</v>
      </c>
      <c r="C10" s="110">
        <v>-34564304.39</v>
      </c>
      <c r="D10" s="110">
        <v>1781762385.61</v>
      </c>
      <c r="E10" s="110">
        <v>1710179482.44</v>
      </c>
      <c r="F10" s="110">
        <v>1701950107.41</v>
      </c>
      <c r="G10" s="110">
        <f>D10-E10</f>
        <v>71582903.16999984</v>
      </c>
    </row>
    <row r="11" spans="1:7" ht="14.25">
      <c r="A11" s="19" t="s">
        <v>426</v>
      </c>
      <c r="B11" s="110">
        <v>102020299</v>
      </c>
      <c r="C11" s="110">
        <v>-2532504.83</v>
      </c>
      <c r="D11" s="110">
        <v>99487794.17</v>
      </c>
      <c r="E11" s="110">
        <v>98369172.26</v>
      </c>
      <c r="F11" s="110">
        <v>97953292.84</v>
      </c>
      <c r="G11" s="110">
        <f>D11-E11</f>
        <v>1118621.9099999964</v>
      </c>
    </row>
    <row r="12" spans="1:7" ht="14.25">
      <c r="A12" s="19" t="s">
        <v>427</v>
      </c>
      <c r="B12" s="110">
        <f aca="true" t="shared" si="1" ref="B12:G12">B13+B14</f>
        <v>275164497</v>
      </c>
      <c r="C12" s="110">
        <f t="shared" si="1"/>
        <v>14060156.89</v>
      </c>
      <c r="D12" s="110">
        <f aca="true" t="shared" si="2" ref="D12:D18">+B12+C12</f>
        <v>289224653.89</v>
      </c>
      <c r="E12" s="110">
        <f t="shared" si="1"/>
        <v>281918715.93</v>
      </c>
      <c r="F12" s="110">
        <f t="shared" si="1"/>
        <v>280706043.61</v>
      </c>
      <c r="G12" s="110">
        <f t="shared" si="1"/>
        <v>7305937.960000001</v>
      </c>
    </row>
    <row r="13" spans="1:7" ht="14.25">
      <c r="A13" s="20" t="s">
        <v>428</v>
      </c>
      <c r="B13" s="110">
        <v>50169942</v>
      </c>
      <c r="C13" s="110">
        <v>-6893395.91</v>
      </c>
      <c r="D13" s="110">
        <v>43276546.09</v>
      </c>
      <c r="E13" s="110">
        <v>40455476.85</v>
      </c>
      <c r="F13" s="110">
        <v>40231659.76</v>
      </c>
      <c r="G13" s="110">
        <f>D13-E13</f>
        <v>2821069.240000002</v>
      </c>
    </row>
    <row r="14" spans="1:7" ht="14.25">
      <c r="A14" s="20" t="s">
        <v>429</v>
      </c>
      <c r="B14" s="110">
        <v>224994555</v>
      </c>
      <c r="C14" s="110">
        <v>20953552.8</v>
      </c>
      <c r="D14" s="110">
        <v>245948107.8</v>
      </c>
      <c r="E14" s="110">
        <v>241463239.08</v>
      </c>
      <c r="F14" s="110">
        <v>240474383.85</v>
      </c>
      <c r="G14" s="110">
        <f>D14-E14</f>
        <v>4484868.719999999</v>
      </c>
    </row>
    <row r="15" spans="1:7" ht="14.25">
      <c r="A15" s="19" t="s">
        <v>430</v>
      </c>
      <c r="B15" s="110">
        <v>631698632</v>
      </c>
      <c r="C15" s="110">
        <v>44719334.36</v>
      </c>
      <c r="D15" s="132">
        <v>676417966.36</v>
      </c>
      <c r="E15" s="110">
        <v>656805040.45</v>
      </c>
      <c r="F15" s="132">
        <v>653832609.22</v>
      </c>
      <c r="G15" s="110">
        <f>D15-E15</f>
        <v>19612925.909999967</v>
      </c>
    </row>
    <row r="16" spans="1:7" ht="28.5">
      <c r="A16" s="32" t="s">
        <v>431</v>
      </c>
      <c r="B16" s="110">
        <f aca="true" t="shared" si="3" ref="B16:G16">B17+B18</f>
        <v>0</v>
      </c>
      <c r="C16" s="110">
        <f t="shared" si="3"/>
        <v>0</v>
      </c>
      <c r="D16" s="110">
        <f t="shared" si="2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</row>
    <row r="17" spans="1:7" ht="14.25">
      <c r="A17" s="20" t="s">
        <v>432</v>
      </c>
      <c r="B17" s="110">
        <v>0</v>
      </c>
      <c r="C17" s="110">
        <v>0</v>
      </c>
      <c r="D17" s="110">
        <f t="shared" si="2"/>
        <v>0</v>
      </c>
      <c r="E17" s="110">
        <v>0</v>
      </c>
      <c r="F17" s="110">
        <v>0</v>
      </c>
      <c r="G17" s="110">
        <f>D17-E17</f>
        <v>0</v>
      </c>
    </row>
    <row r="18" spans="1:7" ht="14.25">
      <c r="A18" s="20" t="s">
        <v>433</v>
      </c>
      <c r="B18" s="110">
        <v>0</v>
      </c>
      <c r="C18" s="110">
        <v>0</v>
      </c>
      <c r="D18" s="110">
        <f t="shared" si="2"/>
        <v>0</v>
      </c>
      <c r="E18" s="110">
        <v>0</v>
      </c>
      <c r="F18" s="110">
        <v>0</v>
      </c>
      <c r="G18" s="110">
        <f>D18-E18</f>
        <v>0</v>
      </c>
    </row>
    <row r="19" spans="1:7" ht="14.25">
      <c r="A19" s="19" t="s">
        <v>434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f>D19-E19</f>
        <v>0</v>
      </c>
    </row>
    <row r="20" spans="1:7" ht="14.25">
      <c r="A20" s="33"/>
      <c r="B20" s="111"/>
      <c r="C20" s="111"/>
      <c r="D20" s="111"/>
      <c r="E20" s="111"/>
      <c r="F20" s="111"/>
      <c r="G20" s="111"/>
    </row>
    <row r="21" spans="1:8" ht="14.25">
      <c r="A21" s="25" t="s">
        <v>435</v>
      </c>
      <c r="B21" s="109">
        <f aca="true" t="shared" si="4" ref="B21:G21">SUM(B22,B23,B24,B27,B28,B31)</f>
        <v>4689278295</v>
      </c>
      <c r="C21" s="109">
        <f t="shared" si="4"/>
        <v>279886734.07</v>
      </c>
      <c r="D21" s="109">
        <f t="shared" si="4"/>
        <v>4969165029.07</v>
      </c>
      <c r="E21" s="109">
        <f t="shared" si="4"/>
        <v>4969165029.07</v>
      </c>
      <c r="F21" s="109">
        <f>SUM(F22,F23,F24,F27,F28,F31)</f>
        <v>4969165029.07</v>
      </c>
      <c r="G21" s="109">
        <f t="shared" si="4"/>
        <v>0</v>
      </c>
      <c r="H21" s="9"/>
    </row>
    <row r="22" spans="1:8" ht="14.25">
      <c r="A22" s="19" t="s">
        <v>425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f>D22-E22</f>
        <v>0</v>
      </c>
      <c r="H22" s="9"/>
    </row>
    <row r="23" spans="1:8" ht="14.25">
      <c r="A23" s="19" t="s">
        <v>426</v>
      </c>
      <c r="B23" s="110">
        <v>4689278295</v>
      </c>
      <c r="C23" s="110">
        <v>279886734.07</v>
      </c>
      <c r="D23" s="110">
        <v>4969165029.07</v>
      </c>
      <c r="E23" s="132">
        <v>4969165029.07</v>
      </c>
      <c r="F23" s="132">
        <v>4969165029.07</v>
      </c>
      <c r="G23" s="110">
        <f aca="true" t="shared" si="5" ref="B23:G24">G24+G25</f>
        <v>0</v>
      </c>
      <c r="H23" s="9"/>
    </row>
    <row r="24" spans="1:8" ht="14.25">
      <c r="A24" s="19" t="s">
        <v>427</v>
      </c>
      <c r="B24" s="110">
        <f t="shared" si="5"/>
        <v>0</v>
      </c>
      <c r="C24" s="110">
        <f t="shared" si="5"/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 t="shared" si="5"/>
        <v>0</v>
      </c>
      <c r="H24" s="9"/>
    </row>
    <row r="25" spans="1:8" ht="14.25">
      <c r="A25" s="20" t="s">
        <v>428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f>D25-E25</f>
        <v>0</v>
      </c>
      <c r="H25" s="9"/>
    </row>
    <row r="26" spans="1:8" ht="14.25">
      <c r="A26" s="20" t="s">
        <v>429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f>D26-E26</f>
        <v>0</v>
      </c>
      <c r="H26" s="9"/>
    </row>
    <row r="27" spans="1:8" ht="14.25">
      <c r="A27" s="19" t="s">
        <v>430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f>D27-E27</f>
        <v>0</v>
      </c>
      <c r="H27" s="9"/>
    </row>
    <row r="28" spans="1:8" ht="28.5">
      <c r="A28" s="32" t="s">
        <v>431</v>
      </c>
      <c r="B28" s="110">
        <f aca="true" t="shared" si="6" ref="B28:G28">B29+B30</f>
        <v>0</v>
      </c>
      <c r="C28" s="110">
        <f t="shared" si="6"/>
        <v>0</v>
      </c>
      <c r="D28" s="110">
        <f t="shared" si="6"/>
        <v>0</v>
      </c>
      <c r="E28" s="110">
        <f t="shared" si="6"/>
        <v>0</v>
      </c>
      <c r="F28" s="110">
        <f t="shared" si="6"/>
        <v>0</v>
      </c>
      <c r="G28" s="110">
        <f t="shared" si="6"/>
        <v>0</v>
      </c>
      <c r="H28" s="9"/>
    </row>
    <row r="29" spans="1:8" ht="14.25">
      <c r="A29" s="20" t="s">
        <v>432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D29-E29</f>
        <v>0</v>
      </c>
      <c r="H29" s="9"/>
    </row>
    <row r="30" spans="1:8" ht="14.25">
      <c r="A30" s="20" t="s">
        <v>433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>D30-E30</f>
        <v>0</v>
      </c>
      <c r="H30" s="9"/>
    </row>
    <row r="31" spans="1:8" ht="14.25">
      <c r="A31" s="19" t="s">
        <v>434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>D31-E31</f>
        <v>0</v>
      </c>
      <c r="H31" s="9"/>
    </row>
    <row r="32" spans="1:7" ht="14.25">
      <c r="A32" s="33"/>
      <c r="B32" s="111"/>
      <c r="C32" s="111"/>
      <c r="D32" s="111"/>
      <c r="E32" s="111"/>
      <c r="F32" s="111"/>
      <c r="G32" s="111"/>
    </row>
    <row r="33" spans="1:7" ht="14.25">
      <c r="A33" s="22" t="s">
        <v>436</v>
      </c>
      <c r="B33" s="109">
        <f aca="true" t="shared" si="7" ref="B33:G33">B21+B9</f>
        <v>7514488413</v>
      </c>
      <c r="C33" s="109">
        <f t="shared" si="7"/>
        <v>301569416.1</v>
      </c>
      <c r="D33" s="109">
        <f t="shared" si="7"/>
        <v>7816057829.1</v>
      </c>
      <c r="E33" s="109">
        <f t="shared" si="7"/>
        <v>7716437440.15</v>
      </c>
      <c r="F33" s="109">
        <f t="shared" si="7"/>
        <v>7703607082.15</v>
      </c>
      <c r="G33" s="109">
        <f t="shared" si="7"/>
        <v>99620388.94999981</v>
      </c>
    </row>
    <row r="34" spans="1:7" ht="14.25">
      <c r="A34" s="34"/>
      <c r="B34" s="129"/>
      <c r="C34" s="129"/>
      <c r="D34" s="129"/>
      <c r="E34" s="129"/>
      <c r="F34" s="129"/>
      <c r="G34" s="129"/>
    </row>
    <row r="35" spans="2:7" ht="14.25" hidden="1">
      <c r="B35" s="31"/>
      <c r="C35" s="31"/>
      <c r="D35" s="31"/>
      <c r="E35" s="31"/>
      <c r="F35" s="31"/>
      <c r="G35" s="31"/>
    </row>
    <row r="36" spans="2:7" ht="14.25" hidden="1">
      <c r="B36" s="31"/>
      <c r="C36" s="31"/>
      <c r="D36" s="31"/>
      <c r="E36" s="31"/>
      <c r="F36" s="31"/>
      <c r="G36" s="31"/>
    </row>
    <row r="37" spans="2:7" ht="14.25" hidden="1">
      <c r="B37" s="31"/>
      <c r="C37" s="31"/>
      <c r="D37" s="31"/>
      <c r="E37" s="31"/>
      <c r="F37" s="31"/>
      <c r="G37" s="31"/>
    </row>
    <row r="38" spans="2:7" ht="14.25" hidden="1">
      <c r="B38" s="31"/>
      <c r="C38" s="31"/>
      <c r="D38" s="31"/>
      <c r="E38" s="31"/>
      <c r="F38" s="31"/>
      <c r="G38" s="31"/>
    </row>
    <row r="39" spans="2:7" ht="14.25" hidden="1">
      <c r="B39" s="31"/>
      <c r="C39" s="31"/>
      <c r="D39" s="31"/>
      <c r="E39" s="31"/>
      <c r="F39" s="31"/>
      <c r="G39" s="31"/>
    </row>
    <row r="40" spans="2:7" ht="14.25" hidden="1">
      <c r="B40" s="31"/>
      <c r="C40" s="31"/>
      <c r="D40" s="31"/>
      <c r="E40" s="31"/>
      <c r="F40" s="31"/>
      <c r="G40" s="31"/>
    </row>
    <row r="41" spans="2:7" ht="14.25" hidden="1">
      <c r="B41" s="31"/>
      <c r="C41" s="31"/>
      <c r="D41" s="31"/>
      <c r="E41" s="31"/>
      <c r="F41" s="31"/>
      <c r="G41" s="31"/>
    </row>
    <row r="42" spans="2:7" ht="14.25" hidden="1">
      <c r="B42" s="31"/>
      <c r="C42" s="31"/>
      <c r="D42" s="31"/>
      <c r="E42" s="31"/>
      <c r="F42" s="31"/>
      <c r="G42" s="31"/>
    </row>
    <row r="43" spans="2:7" ht="14.25" hidden="1">
      <c r="B43" s="31"/>
      <c r="C43" s="31"/>
      <c r="D43" s="31"/>
      <c r="E43" s="31"/>
      <c r="F43" s="31"/>
      <c r="G43" s="31"/>
    </row>
    <row r="44" spans="2:7" ht="14.25" hidden="1">
      <c r="B44" s="31"/>
      <c r="C44" s="31"/>
      <c r="D44" s="31"/>
      <c r="E44" s="31"/>
      <c r="F44" s="31"/>
      <c r="G44" s="31"/>
    </row>
    <row r="45" spans="2:7" ht="14.25" hidden="1">
      <c r="B45" s="31"/>
      <c r="C45" s="31"/>
      <c r="D45" s="31"/>
      <c r="E45" s="31"/>
      <c r="F45" s="31"/>
      <c r="G45" s="31"/>
    </row>
    <row r="46" ht="14.2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F9 B12:C12 B16:C16 B21:F21 B24:F24 B28:F28 B33:F33 G9:G11 G13:G15 G17:G23 G25:G27 G29:G33 E12:F12 E16:F16 D17:D18" unlockedFormula="1"/>
    <ignoredError sqref="G12 G16 G24 G28 D16 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Juan Acuña Novelo</cp:lastModifiedBy>
  <cp:lastPrinted>2023-01-27T04:18:17Z</cp:lastPrinted>
  <dcterms:created xsi:type="dcterms:W3CDTF">2019-07-09T15:27:10Z</dcterms:created>
  <dcterms:modified xsi:type="dcterms:W3CDTF">2023-01-30T18:20:06Z</dcterms:modified>
  <cp:category/>
  <cp:version/>
  <cp:contentType/>
  <cp:contentStatus/>
</cp:coreProperties>
</file>