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0490" windowHeight="7155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 a)" sheetId="6" r:id="rId6"/>
    <sheet name="Formato 6 b)" sheetId="7" r:id="rId7"/>
    <sheet name="Formato 6 c)" sheetId="8" r:id="rId8"/>
    <sheet name="Formato 6 d)" sheetId="9" r:id="rId9"/>
  </sheets>
  <externalReferences>
    <externalReference r:id="rId12"/>
    <externalReference r:id="rId13"/>
  </externalReferences>
  <definedNames>
    <definedName name="ANIO">'[1]Info General'!$D$20</definedName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cbvbcvbcv">'Formato 6 b)'!$B$50</definedName>
    <definedName name="cvbcbvbcvbvc">'Formato 6 b)'!$C$37</definedName>
    <definedName name="cvbcvb">'Formato 6 b)'!$F$36</definedName>
    <definedName name="cvbcvbcbv">'Formato 6 b)'!$D$50</definedName>
    <definedName name="cvbvcbcbvbc">'Formato 6 b)'!$C$9</definedName>
    <definedName name="DEUDA_CONT_FIN_01">'Formato 2'!$B$31</definedName>
    <definedName name="DEUDA_CONT_FIN_02">'Formato 2'!$C$31</definedName>
    <definedName name="DEUDA_CONT_FIN_03">'Formato 2'!$D$31</definedName>
    <definedName name="DEUDA_CONT_FIN_04">'Formato 2'!$E$31</definedName>
    <definedName name="DEUDA_CONT_FIN_05">'Formato 2'!$F$31</definedName>
    <definedName name="DEUDA_CONT_FIN_06">'Formato 2'!$G$31</definedName>
    <definedName name="DEUDA_CONT_FIN_07">'Formato 2'!$H$31</definedName>
    <definedName name="dsafvzsd">'[2]Info General'!$C$7</definedName>
    <definedName name="dsfdsdsdsdsdsdsdsdsdsdsdsdsdsdsdsdsdsdsdsdsdsdsdsdsdsdsdsdsdsdsdsdsdsds">'Formato 3'!$H$14</definedName>
    <definedName name="dsfsfdsffffffff">'Formato 3'!$I$14</definedName>
    <definedName name="ENTE_PUBLICO_A">'[1]Info General'!$C$7</definedName>
    <definedName name="fdggdfgdgfd">'Formato 3'!$E$8</definedName>
    <definedName name="fdgxfd">'[2]Info General'!$C$7</definedName>
    <definedName name="fdsfdsfdsfdsfdsfdsfdsfdsfdsfdsfdsfds">'Formato 3'!$J$8</definedName>
    <definedName name="fgsgfdfdfzxvzcvczv">'Formato 2'!$C$52</definedName>
    <definedName name="GASTO_E_FIN_01">'Formato 6 b)'!$B$50</definedName>
    <definedName name="GASTO_E_FIN_02">'Formato 6 b)'!$C$50</definedName>
    <definedName name="GASTO_E_FIN_03">'Formato 6 b)'!$D$50</definedName>
    <definedName name="GASTO_E_FIN_04">'Formato 6 b)'!$E$50</definedName>
    <definedName name="GASTO_E_FIN_05">'Formato 6 b)'!$F$50</definedName>
    <definedName name="GASTO_E_FIN_06">'Formato 6 b)'!$G$50</definedName>
    <definedName name="GASTO_E_T1">'Formato 6 b)'!$B$37</definedName>
    <definedName name="GASTO_E_T2">'Formato 6 b)'!$C$37</definedName>
    <definedName name="GASTO_E_T3">'Formato 6 b)'!$D$37</definedName>
    <definedName name="GASTO_E_T4">'Formato 6 b)'!$E$37</definedName>
    <definedName name="GASTO_E_T5">'Formato 6 b)'!$F$37</definedName>
    <definedName name="GASTO_E_T6">'Formato 6 b)'!$G$37</definedName>
    <definedName name="GASTO_NE_FIN_01">'Formato 6 b)'!$B$36</definedName>
    <definedName name="GASTO_NE_FIN_02">'Formato 6 b)'!$C$36</definedName>
    <definedName name="GASTO_NE_FIN_03">'Formato 6 b)'!$D$36</definedName>
    <definedName name="GASTO_NE_FIN_04">'Formato 6 b)'!$E$36</definedName>
    <definedName name="GASTO_NE_FIN_05">'Formato 6 b)'!$F$36</definedName>
    <definedName name="GASTO_NE_FIN_06">'Formato 6 b)'!$G$36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gfhdhdgh">'Formato 2'!$E$52</definedName>
    <definedName name="MONTO1">'[2]Info General'!$D$18</definedName>
    <definedName name="MONTO2">'[2]Info General'!$E$18</definedName>
    <definedName name="OB_CORTO_PLAZO_FIN_01">'Formato 2'!$B$52</definedName>
    <definedName name="OB_CORTO_PLAZO_FIN_02">'Formato 2'!$C$52</definedName>
    <definedName name="OB_CORTO_PLAZO_FIN_03">'Formato 2'!$D$52</definedName>
    <definedName name="OB_CORTO_PLAZO_FIN_04">'Formato 2'!$E$52</definedName>
    <definedName name="OB_CORTO_PLAZO_FIN_05">'Formato 2'!$F$52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_INFORME">'[1]Info General'!$C$14</definedName>
    <definedName name="sadas">'[2]Info General'!$C$7</definedName>
    <definedName name="SALDO_PENDIENTE">'[2]Info General'!$F$18</definedName>
    <definedName name="sdfsdfsfds">'Formato 3'!$E$14</definedName>
    <definedName name="sdfsfsdf">'Formato 3'!$G$8</definedName>
    <definedName name="_xlnm.Print_Titles" localSheetId="5">'Formato 6 a)'!$1:$8</definedName>
    <definedName name="TRIMESTRE">'[2]Info General'!$C$16</definedName>
    <definedName name="ULTIMO">'[1]Info General'!$E$20</definedName>
    <definedName name="ULTIMO_SALDO">'[2]Info General'!$F$20</definedName>
    <definedName name="VALOR_INS_BCC_FIN_01">'Formato 2'!$B$38</definedName>
    <definedName name="VALOR_INS_BCC_FIN_02">'Formato 2'!$C$38</definedName>
    <definedName name="VALOR_INS_BCC_FIN_03">'Formato 2'!$D$38</definedName>
    <definedName name="VALOR_INS_BCC_FIN_04">'Formato 2'!$E$38</definedName>
    <definedName name="VALOR_INS_BCC_FIN_05">'Formato 2'!$F$38</definedName>
    <definedName name="VALOR_INS_BCC_FIN_06">'Formato 2'!$G$38</definedName>
    <definedName name="VALOR_INS_BCC_FIN_07">'Formato 2'!$H$38</definedName>
    <definedName name="vcbvbcbdfgfdg">'Formato 6 b)'!$D$9</definedName>
    <definedName name="vcvcbvcbcvb">'Formato 6 b)'!$B$37</definedName>
    <definedName name="zfds">'Formato 2'!$H$38</definedName>
  </definedNames>
  <calcPr fullCalcOnLoad="1"/>
</workbook>
</file>

<file path=xl/sharedStrings.xml><?xml version="1.0" encoding="utf-8"?>
<sst xmlns="http://schemas.openxmlformats.org/spreadsheetml/2006/main" count="687" uniqueCount="483">
  <si>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</si>
  <si>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</si>
  <si>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</si>
  <si>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</si>
  <si>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</si>
  <si>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</si>
  <si>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</si>
  <si>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</si>
  <si>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</si>
  <si>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</si>
  <si>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</si>
  <si>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</si>
  <si>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</si>
  <si>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</si>
  <si>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</si>
  <si>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</si>
  <si>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</si>
  <si>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</si>
  <si>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</si>
  <si>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</si>
  <si>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</si>
  <si>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</si>
  <si>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</si>
  <si>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</si>
  <si>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</si>
  <si>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</si>
  <si>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</si>
  <si>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</si>
  <si>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</si>
  <si>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</si>
  <si>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</si>
  <si>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</si>
  <si>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</si>
  <si>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</si>
  <si>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</si>
  <si>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</si>
  <si>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</si>
  <si>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</si>
  <si>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</si>
  <si>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</si>
  <si>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</si>
  <si>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</si>
  <si>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</si>
  <si>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</si>
  <si>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</si>
  <si>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</si>
  <si>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</si>
  <si>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</si>
  <si>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</si>
  <si>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</si>
  <si>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</si>
  <si>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</si>
  <si>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</si>
  <si>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</si>
  <si>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</si>
  <si>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</si>
  <si>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</si>
  <si>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</si>
  <si>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</si>
  <si>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</si>
  <si>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</si>
  <si>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</si>
  <si>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</si>
  <si>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</si>
  <si>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</si>
  <si>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</si>
  <si>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</si>
  <si>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</si>
  <si>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</si>
  <si>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</si>
  <si>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</si>
  <si>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</si>
  <si>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</si>
  <si>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</si>
  <si>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</si>
  <si>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</si>
  <si>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</si>
  <si>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</si>
  <si>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</si>
  <si>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</si>
  <si>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</si>
  <si>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</si>
  <si>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</si>
  <si>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</si>
  <si>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</si>
  <si>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</si>
  <si>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</si>
  <si>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</si>
  <si>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</si>
  <si>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</si>
  <si>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</si>
  <si>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</si>
  <si>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</si>
  <si>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</si>
  <si>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</si>
  <si>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</si>
  <si>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</si>
  <si>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</si>
  <si>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</si>
  <si>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</si>
  <si>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</si>
  <si>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</si>
  <si>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</si>
  <si>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</si>
  <si>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</si>
  <si>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</si>
  <si>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</si>
  <si>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</si>
  <si>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</si>
  <si>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</si>
  <si>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</si>
  <si>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</si>
  <si>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</si>
  <si>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</si>
  <si>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</si>
  <si>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</si>
  <si>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</si>
  <si>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</si>
  <si>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</si>
  <si>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</si>
  <si>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</si>
  <si>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</si>
  <si>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</si>
  <si>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</si>
  <si>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</si>
  <si>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</si>
  <si>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</si>
  <si>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</si>
  <si>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</si>
  <si>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</si>
  <si>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</si>
  <si>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</si>
  <si>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</si>
  <si>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</si>
  <si>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</si>
  <si>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</si>
  <si>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</si>
  <si>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</si>
  <si>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</si>
  <si>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</si>
  <si>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</si>
  <si>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</si>
  <si>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indexed="8"/>
        <rFont val="Calibri"/>
        <family val="2"/>
      </rPr>
      <t>1</t>
    </r>
    <r>
      <rPr>
        <b/>
        <sz val="11"/>
        <color indexed="8"/>
        <rFont val="Calibri"/>
        <family val="2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</si>
  <si>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</si>
  <si>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</si>
  <si>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</si>
  <si>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</si>
  <si>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(Informativo)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</si>
  <si>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</si>
  <si>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</si>
  <si>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</si>
  <si>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</si>
  <si>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</si>
  <si>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</si>
  <si>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</si>
  <si>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</si>
  <si>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</si>
  <si>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</si>
  <si>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</si>
  <si>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</si>
  <si>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</si>
  <si>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</si>
  <si>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</si>
  <si>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</si>
  <si>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</si>
  <si>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</si>
  <si>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</si>
  <si>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</si>
  <si>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</si>
  <si>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</si>
  <si>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</si>
  <si>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</si>
  <si>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</si>
  <si>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</si>
  <si>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</si>
  <si>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</si>
  <si>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</si>
  <si>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</si>
  <si>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</si>
  <si>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</si>
  <si>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</si>
  <si>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</si>
  <si>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</si>
  <si>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</si>
  <si>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</si>
  <si>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</si>
  <si>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</si>
  <si>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</si>
  <si>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</si>
  <si>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</si>
  <si>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</si>
  <si>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</si>
  <si>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</si>
  <si>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</si>
  <si>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</si>
  <si>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</si>
  <si>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</si>
  <si>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</si>
  <si>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</si>
  <si>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</si>
  <si>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</si>
  <si>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</si>
  <si>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</si>
  <si>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</si>
  <si>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</si>
  <si>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</si>
  <si>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</si>
  <si>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</si>
  <si>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</si>
  <si>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</si>
  <si>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</si>
  <si>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</si>
  <si>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</si>
  <si>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</si>
  <si>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</si>
  <si>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</si>
  <si>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</si>
  <si>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</si>
  <si>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</si>
  <si>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</si>
  <si>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</si>
  <si>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</si>
  <si>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</si>
  <si>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</si>
  <si>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</si>
  <si>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</si>
  <si>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</si>
  <si>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</si>
  <si>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</si>
  <si>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</si>
  <si>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</si>
  <si>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</si>
  <si>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</si>
  <si>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</si>
  <si>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</si>
  <si>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</si>
  <si>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</si>
  <si>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</si>
  <si>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</si>
  <si>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</si>
  <si>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</si>
  <si>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</si>
  <si>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</si>
  <si>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</si>
  <si>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</si>
  <si>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</si>
  <si>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</si>
  <si>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</si>
  <si>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</si>
  <si>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</si>
  <si>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</si>
  <si>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</si>
  <si>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</si>
  <si>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</si>
  <si>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</si>
  <si>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</si>
  <si>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</si>
  <si>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</si>
  <si>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</si>
  <si>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</si>
  <si>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</si>
  <si>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</si>
  <si>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</si>
  <si>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</si>
  <si>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</si>
  <si>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</si>
  <si>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</si>
  <si>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</si>
  <si>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</si>
  <si>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</si>
  <si>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</si>
  <si>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</si>
  <si>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</si>
  <si>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</si>
  <si>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</si>
  <si>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</si>
  <si>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</si>
  <si>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</si>
  <si>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</si>
  <si>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</si>
  <si>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</si>
  <si>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</si>
  <si>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</si>
  <si>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</si>
  <si>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</si>
  <si>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</si>
  <si>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</si>
  <si>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</si>
  <si>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</si>
  <si>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</si>
  <si>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</si>
  <si>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Poder Ejecutivo del Estado de Campeche (a)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</si>
  <si>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</si>
  <si>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</si>
  <si>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</si>
  <si>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</si>
  <si>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</si>
  <si>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</si>
  <si>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</si>
  <si>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</si>
  <si>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</si>
  <si>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</si>
  <si>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</si>
  <si>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</si>
  <si>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</si>
  <si>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</si>
  <si>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</si>
  <si>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</si>
  <si>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</si>
  <si>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</si>
  <si>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</si>
  <si>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</si>
  <si>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</si>
  <si>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</si>
  <si>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</si>
  <si>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</si>
  <si>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</si>
  <si>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</si>
  <si>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</si>
  <si>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</si>
  <si>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</si>
  <si>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</si>
  <si>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</si>
  <si>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</si>
  <si>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</si>
  <si>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</si>
  <si>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</si>
  <si>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</si>
  <si>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</si>
  <si>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</si>
  <si>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</si>
  <si>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</si>
  <si>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</si>
  <si>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</si>
  <si>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</si>
  <si>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</si>
  <si>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</si>
  <si>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</si>
  <si>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</si>
  <si>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</si>
  <si>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</si>
  <si>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</si>
  <si>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</si>
  <si>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</si>
  <si>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</si>
  <si>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</si>
  <si>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</si>
  <si>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</si>
  <si>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</si>
  <si>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</si>
  <si>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</si>
  <si>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</si>
  <si>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</si>
  <si>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</si>
  <si>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</si>
  <si>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</si>
  <si>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</si>
  <si>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</si>
  <si>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</si>
  <si>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</si>
  <si>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</si>
  <si>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</si>
  <si>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</si>
  <si>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</si>
  <si>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</si>
  <si>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</si>
  <si>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</si>
  <si>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</si>
  <si>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</si>
  <si>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</si>
  <si>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</si>
  <si>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</si>
  <si>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</si>
  <si>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</si>
  <si>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</si>
  <si>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</si>
  <si>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</si>
  <si>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</si>
  <si>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</si>
  <si>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</si>
  <si>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II. Gasto Etiquetado (II=A+B+C+D+E+F+G+H)</t>
  </si>
  <si>
    <t>Formato 6 c) Estado Analítico del Ejercicio del Presupuesto de Egresos Detallado -LDF 
                       (Claisificación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</si>
  <si>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</si>
  <si>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</si>
  <si>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</si>
  <si>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</si>
  <si>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</si>
  <si>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</si>
  <si>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</si>
  <si>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</si>
  <si>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</si>
  <si>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</si>
  <si>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</si>
  <si>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</si>
  <si>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</si>
  <si>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</si>
  <si>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</si>
  <si>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</si>
  <si>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</si>
  <si>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</si>
  <si>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</si>
  <si>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</si>
  <si>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</si>
  <si>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</si>
  <si>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</si>
  <si>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</si>
  <si>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</si>
  <si>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</si>
  <si>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</si>
  <si>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</si>
  <si>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</si>
  <si>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</si>
  <si>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</si>
  <si>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</si>
  <si>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</si>
  <si>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</si>
  <si>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</si>
  <si>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</si>
  <si>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</si>
  <si>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</si>
  <si>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</si>
  <si>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</si>
  <si>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</si>
  <si>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</si>
  <si>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</si>
  <si>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</si>
  <si>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</si>
  <si>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</si>
  <si>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</si>
  <si>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</si>
  <si>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</si>
  <si>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</si>
  <si>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</si>
  <si>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</si>
  <si>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</si>
  <si>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</si>
  <si>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</si>
  <si>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</si>
  <si>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Secretaría de Educación</t>
  </si>
  <si>
    <t>Secretaría de Salud</t>
  </si>
  <si>
    <t>Secretaría de Desarrollo Económico</t>
  </si>
  <si>
    <t>Secretaría de Turismo</t>
  </si>
  <si>
    <t>Secretaría de Protección Civil</t>
  </si>
  <si>
    <t>Consejería Jurídica</t>
  </si>
  <si>
    <t>Fiscalía General del Estado de Campeche</t>
  </si>
  <si>
    <t>Deuda Pública</t>
  </si>
  <si>
    <t>Poder Legislativo</t>
  </si>
  <si>
    <t>Poder Judicial</t>
  </si>
  <si>
    <t>Órganos Autónomos</t>
  </si>
  <si>
    <t>Organismos Públicos Descentralizados</t>
  </si>
  <si>
    <t>Fideicomisos Públicos</t>
  </si>
  <si>
    <t>Participaciones y Transferencias a Municipios</t>
  </si>
  <si>
    <r>
      <t xml:space="preserve">A. Instrumento Bono Cupón Cero FONREC </t>
    </r>
    <r>
      <rPr>
        <vertAlign val="superscript"/>
        <sz val="11"/>
        <color indexed="8"/>
        <rFont val="Calibri"/>
        <family val="2"/>
      </rPr>
      <t>2</t>
    </r>
  </si>
  <si>
    <r>
      <t>B. Instrumento Bono Cupón Cero PROFISE</t>
    </r>
    <r>
      <rPr>
        <vertAlign val="superscript"/>
        <sz val="11"/>
        <color indexed="8"/>
        <rFont val="Calibri"/>
        <family val="2"/>
      </rPr>
      <t xml:space="preserve"> 2</t>
    </r>
  </si>
  <si>
    <r>
      <t>C.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</si>
  <si>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t>D.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</si>
  <si>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t>E. Instrumento Bono Cupón Cero FONREC</t>
    </r>
    <r>
      <rPr>
        <vertAlign val="superscript"/>
        <sz val="11"/>
        <color indexed="8"/>
        <rFont val="Calibri"/>
        <family val="2"/>
      </rPr>
      <t>2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</si>
  <si>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 Se refiere al valor del Bono Cupón Cero que respalda el pago de los créditos asociados al mismo (Activo).</t>
    </r>
  </si>
  <si>
    <t>BANAMEX, S.A.</t>
  </si>
  <si>
    <t>SANTANDER, S.A.</t>
  </si>
  <si>
    <t>BBVA BANCOMER, S.A.</t>
  </si>
  <si>
    <t>Provisiones del Estado</t>
  </si>
  <si>
    <t>g5) Inversiones en Fideicomisos, Mandatos y Otros Análogos
        Fideicomiso de Desastres Naturales (Informativo)</t>
  </si>
  <si>
    <t>2022 (d)</t>
  </si>
  <si>
    <t>31 de diciembre de 2021 (e)</t>
  </si>
  <si>
    <t>Al 31 de marzo de 2022 y al 31 de diciembre de 2021 (b)</t>
  </si>
  <si>
    <t>Del 1 enero al 31 de marzo de 2022 (b)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</si>
  <si>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</si>
  <si>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</si>
  <si>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</si>
  <si>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Del 1 de enero al 31 de marzo de 2022 (b)</t>
  </si>
  <si>
    <t>Saldo al 31 de diciembre de 2021 (d)</t>
  </si>
  <si>
    <t>Coordinación General de la Oficina de la Gobernadora o del Gobernador del Estado</t>
  </si>
  <si>
    <t>Secretaría de Gobierno</t>
  </si>
  <si>
    <t>Secretaría de Administración y Finanzas</t>
  </si>
  <si>
    <t>Secretaría de Modernización Administrativa e Innovación Gubernamental</t>
  </si>
  <si>
    <t>Secretaría de Desarrollo Territorial, Urbano y Obras Públicas</t>
  </si>
  <si>
    <t>Secretaría de Desarrollo Agropecuario</t>
  </si>
  <si>
    <t>Secretaría de Bienestar</t>
  </si>
  <si>
    <t>Secretaría de Inclusión</t>
  </si>
  <si>
    <t>Secretaría de Medio Ambiente, Biodiversidad, Cambio Climático y Energía</t>
  </si>
  <si>
    <t>Secretaría de Protección y Seguridad Ciudadana</t>
  </si>
  <si>
    <t>Secretaría de la Contraloría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</si>
</sst>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;@"/>
    <numFmt numFmtId="173" formatCode="[$-1080A]#,##0.00;\(#,##0.00\)"/>
    <numFmt numFmtId="174" formatCode="[$-1080A]#,##0.00;\-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22"/>
      <name val="Calibri"/>
      <family val="2"/>
    </font>
    <font>
      <sz val="11"/>
      <color indexed="22"/>
      <name val="Calibri"/>
      <family val="2"/>
    </font>
    <font>
      <b/>
      <sz val="9"/>
      <color indexed="8"/>
      <name val="Courier New"/>
      <family val="3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b/>
      <sz val="11"/>
      <color theme="2" tint="-0.09996999800205231"/>
      <name val="Calibri"/>
      <family val="2"/>
    </font>
    <font>
      <sz val="11"/>
      <color theme="2" tint="-0.09996999800205231"/>
      <name val="Calibri"/>
      <family val="2"/>
    </font>
    <font>
      <b/>
      <sz val="9"/>
      <color rgb="FF000000"/>
      <name val="Courier New"/>
      <family val="3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 diagonalUp="1">
      <left style="thin"/>
      <right style="thin"/>
      <top/>
      <bottom/>
      <diagonal style="thin">
        <color theme="1" tint="0.49998000264167786"/>
      </diagonal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 style="thin">
        <color rgb="FF000000"/>
      </left>
      <right/>
      <top/>
      <bottom style="thin"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62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left" vertical="center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14" xfId="0" applyFont="1" applyFill="1" applyBorder="1" applyAlignment="1">
      <alignment horizontal="left" vertical="center" indent="3"/>
    </xf>
    <xf numFmtId="0" fontId="0" fillId="0" borderId="15" xfId="0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44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0" fillId="33" borderId="16" xfId="0" applyFill="1" applyBorder="1" applyAlignment="1">
      <alignment vertical="center"/>
    </xf>
    <xf numFmtId="0" fontId="43" fillId="33" borderId="11" xfId="0" applyFont="1" applyFill="1" applyBorder="1" applyAlignment="1">
      <alignment horizontal="left" vertical="center" wrapText="1" indent="3"/>
    </xf>
    <xf numFmtId="171" fontId="43" fillId="0" borderId="15" xfId="47" applyFont="1" applyFill="1" applyBorder="1" applyAlignment="1" applyProtection="1">
      <alignment/>
      <protection locked="0"/>
    </xf>
    <xf numFmtId="171" fontId="46" fillId="33" borderId="16" xfId="47" applyFont="1" applyFill="1" applyBorder="1" applyAlignment="1">
      <alignment/>
    </xf>
    <xf numFmtId="171" fontId="47" fillId="33" borderId="16" xfId="47" applyFont="1" applyFill="1" applyBorder="1" applyAlignment="1">
      <alignment/>
    </xf>
    <xf numFmtId="0" fontId="43" fillId="33" borderId="11" xfId="0" applyFont="1" applyFill="1" applyBorder="1" applyAlignment="1">
      <alignment horizontal="center" vertical="center"/>
    </xf>
    <xf numFmtId="0" fontId="43" fillId="34" borderId="17" xfId="0" applyFont="1" applyFill="1" applyBorder="1" applyAlignment="1">
      <alignment horizontal="left" vertical="center" indent="3"/>
    </xf>
    <xf numFmtId="0" fontId="0" fillId="34" borderId="15" xfId="0" applyFill="1" applyBorder="1" applyAlignment="1">
      <alignment horizontal="left" vertical="center" indent="6"/>
    </xf>
    <xf numFmtId="0" fontId="0" fillId="34" borderId="15" xfId="0" applyFill="1" applyBorder="1" applyAlignment="1">
      <alignment horizontal="left" vertical="center" indent="9"/>
    </xf>
    <xf numFmtId="0" fontId="0" fillId="34" borderId="15" xfId="0" applyFill="1" applyBorder="1" applyAlignment="1">
      <alignment horizontal="left" vertical="center" indent="3"/>
    </xf>
    <xf numFmtId="0" fontId="43" fillId="34" borderId="15" xfId="0" applyFont="1" applyFill="1" applyBorder="1" applyAlignment="1">
      <alignment horizontal="left" vertical="center" indent="3"/>
    </xf>
    <xf numFmtId="0" fontId="0" fillId="34" borderId="15" xfId="0" applyFill="1" applyBorder="1" applyAlignment="1">
      <alignment horizontal="left" indent="9"/>
    </xf>
    <xf numFmtId="0" fontId="0" fillId="34" borderId="15" xfId="0" applyFill="1" applyBorder="1" applyAlignment="1">
      <alignment horizontal="left" indent="3"/>
    </xf>
    <xf numFmtId="0" fontId="43" fillId="34" borderId="15" xfId="0" applyFont="1" applyFill="1" applyBorder="1" applyAlignment="1">
      <alignment horizontal="left" indent="3"/>
    </xf>
    <xf numFmtId="171" fontId="43" fillId="34" borderId="15" xfId="47" applyFont="1" applyFill="1" applyBorder="1" applyAlignment="1" applyProtection="1">
      <alignment vertical="center"/>
      <protection locked="0"/>
    </xf>
    <xf numFmtId="171" fontId="0" fillId="34" borderId="15" xfId="47" applyFont="1" applyFill="1" applyBorder="1" applyAlignment="1" applyProtection="1">
      <alignment vertical="center"/>
      <protection locked="0"/>
    </xf>
    <xf numFmtId="171" fontId="0" fillId="34" borderId="15" xfId="47" applyFont="1" applyFill="1" applyBorder="1" applyAlignment="1">
      <alignment vertical="center"/>
    </xf>
    <xf numFmtId="0" fontId="43" fillId="33" borderId="10" xfId="0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4" borderId="15" xfId="0" applyFill="1" applyBorder="1" applyAlignment="1">
      <alignment horizontal="left" vertical="center" wrapText="1" indent="6"/>
    </xf>
    <xf numFmtId="0" fontId="0" fillId="34" borderId="15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0" fillId="34" borderId="15" xfId="0" applyFill="1" applyBorder="1" applyAlignment="1">
      <alignment horizontal="left" vertical="center" wrapText="1" indent="9"/>
    </xf>
    <xf numFmtId="0" fontId="0" fillId="34" borderId="15" xfId="0" applyFill="1" applyBorder="1" applyAlignment="1">
      <alignment horizontal="left" wrapText="1" indent="9"/>
    </xf>
    <xf numFmtId="0" fontId="0" fillId="34" borderId="0" xfId="0" applyFill="1" applyAlignment="1">
      <alignment/>
    </xf>
    <xf numFmtId="0" fontId="0" fillId="34" borderId="15" xfId="0" applyFill="1" applyBorder="1" applyAlignment="1" applyProtection="1">
      <alignment horizontal="left" vertical="center" indent="6"/>
      <protection locked="0"/>
    </xf>
    <xf numFmtId="0" fontId="28" fillId="34" borderId="15" xfId="0" applyFont="1" applyFill="1" applyBorder="1" applyAlignment="1">
      <alignment vertical="center"/>
    </xf>
    <xf numFmtId="171" fontId="0" fillId="34" borderId="15" xfId="47" applyFont="1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 horizontal="left" vertical="center" wrapText="1" indent="3"/>
    </xf>
    <xf numFmtId="0" fontId="43" fillId="34" borderId="15" xfId="0" applyFont="1" applyFill="1" applyBorder="1" applyAlignment="1">
      <alignment horizontal="left" vertical="center" wrapText="1" indent="3"/>
    </xf>
    <xf numFmtId="0" fontId="0" fillId="34" borderId="17" xfId="0" applyFill="1" applyBorder="1" applyAlignment="1">
      <alignment horizontal="left" vertical="center" indent="6"/>
    </xf>
    <xf numFmtId="171" fontId="0" fillId="34" borderId="17" xfId="47" applyFont="1" applyFill="1" applyBorder="1" applyAlignment="1" applyProtection="1">
      <alignment/>
      <protection locked="0"/>
    </xf>
    <xf numFmtId="0" fontId="43" fillId="34" borderId="15" xfId="0" applyFont="1" applyFill="1" applyBorder="1" applyAlignment="1">
      <alignment horizontal="left" vertical="center" wrapText="1" indent="9"/>
    </xf>
    <xf numFmtId="171" fontId="43" fillId="34" borderId="15" xfId="47" applyFont="1" applyFill="1" applyBorder="1" applyAlignment="1" applyProtection="1">
      <alignment/>
      <protection locked="0"/>
    </xf>
    <xf numFmtId="0" fontId="0" fillId="34" borderId="15" xfId="0" applyFill="1" applyBorder="1" applyAlignment="1">
      <alignment horizontal="left" vertical="center" indent="12"/>
    </xf>
    <xf numFmtId="171" fontId="0" fillId="34" borderId="15" xfId="47" applyFont="1" applyFill="1" applyBorder="1" applyAlignment="1" applyProtection="1">
      <alignment/>
      <protection locked="0"/>
    </xf>
    <xf numFmtId="171" fontId="0" fillId="34" borderId="17" xfId="47" applyFont="1" applyFill="1" applyBorder="1" applyAlignment="1" applyProtection="1">
      <alignment vertical="center"/>
      <protection locked="0"/>
    </xf>
    <xf numFmtId="0" fontId="43" fillId="34" borderId="15" xfId="0" applyFont="1" applyFill="1" applyBorder="1" applyAlignment="1">
      <alignment vertical="center"/>
    </xf>
    <xf numFmtId="171" fontId="43" fillId="34" borderId="15" xfId="47" applyFont="1" applyFill="1" applyBorder="1" applyAlignment="1">
      <alignment vertical="center"/>
    </xf>
    <xf numFmtId="0" fontId="43" fillId="34" borderId="13" xfId="0" applyFont="1" applyFill="1" applyBorder="1" applyAlignment="1">
      <alignment horizontal="left" vertical="center" indent="3"/>
    </xf>
    <xf numFmtId="0" fontId="43" fillId="34" borderId="13" xfId="0" applyFont="1" applyFill="1" applyBorder="1" applyAlignment="1">
      <alignment horizontal="left" vertical="center" wrapText="1" indent="3"/>
    </xf>
    <xf numFmtId="171" fontId="43" fillId="34" borderId="15" xfId="47" applyFont="1" applyFill="1" applyBorder="1" applyAlignment="1">
      <alignment/>
    </xf>
    <xf numFmtId="171" fontId="0" fillId="34" borderId="15" xfId="47" applyFont="1" applyFill="1" applyBorder="1" applyAlignment="1" applyProtection="1">
      <alignment/>
      <protection locked="0"/>
    </xf>
    <xf numFmtId="0" fontId="0" fillId="34" borderId="15" xfId="0" applyFill="1" applyBorder="1" applyAlignment="1">
      <alignment/>
    </xf>
    <xf numFmtId="172" fontId="0" fillId="34" borderId="15" xfId="0" applyNumberFormat="1" applyFill="1" applyBorder="1" applyAlignment="1" applyProtection="1">
      <alignment vertical="center"/>
      <protection locked="0"/>
    </xf>
    <xf numFmtId="16" fontId="0" fillId="34" borderId="15" xfId="0" applyNumberFormat="1" applyFill="1" applyBorder="1" applyAlignment="1">
      <alignment vertical="center"/>
    </xf>
    <xf numFmtId="0" fontId="43" fillId="34" borderId="15" xfId="0" applyFont="1" applyFill="1" applyBorder="1" applyAlignment="1">
      <alignment horizontal="left" vertical="center" indent="2"/>
    </xf>
    <xf numFmtId="0" fontId="0" fillId="34" borderId="15" xfId="0" applyFill="1" applyBorder="1" applyAlignment="1" applyProtection="1">
      <alignment horizontal="left" vertical="center" indent="4"/>
      <protection locked="0"/>
    </xf>
    <xf numFmtId="0" fontId="28" fillId="34" borderId="15" xfId="0" applyFont="1" applyFill="1" applyBorder="1" applyAlignment="1">
      <alignment horizontal="left" vertical="center"/>
    </xf>
    <xf numFmtId="0" fontId="43" fillId="34" borderId="14" xfId="0" applyFont="1" applyFill="1" applyBorder="1" applyAlignment="1">
      <alignment horizontal="left" vertical="center" indent="3"/>
    </xf>
    <xf numFmtId="0" fontId="0" fillId="34" borderId="14" xfId="0" applyFill="1" applyBorder="1" applyAlignment="1">
      <alignment horizontal="left" vertical="center" indent="5"/>
    </xf>
    <xf numFmtId="0" fontId="0" fillId="34" borderId="14" xfId="0" applyFill="1" applyBorder="1" applyAlignment="1">
      <alignment horizontal="left" vertical="center" indent="7"/>
    </xf>
    <xf numFmtId="0" fontId="0" fillId="34" borderId="14" xfId="0" applyFill="1" applyBorder="1" applyAlignment="1" applyProtection="1">
      <alignment horizontal="left" vertical="center" indent="5"/>
      <protection locked="0"/>
    </xf>
    <xf numFmtId="0" fontId="28" fillId="34" borderId="13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ill="1" applyAlignment="1" applyProtection="1">
      <alignment/>
      <protection locked="0"/>
    </xf>
    <xf numFmtId="0" fontId="28" fillId="34" borderId="13" xfId="0" applyFont="1" applyFill="1" applyBorder="1" applyAlignment="1">
      <alignment/>
    </xf>
    <xf numFmtId="0" fontId="43" fillId="34" borderId="18" xfId="0" applyFont="1" applyFill="1" applyBorder="1" applyAlignment="1">
      <alignment horizontal="left" vertical="center" indent="2"/>
    </xf>
    <xf numFmtId="0" fontId="0" fillId="34" borderId="18" xfId="0" applyFill="1" applyBorder="1" applyAlignment="1">
      <alignment horizontal="left" vertical="center" indent="3"/>
    </xf>
    <xf numFmtId="0" fontId="0" fillId="34" borderId="15" xfId="0" applyFont="1" applyFill="1" applyBorder="1" applyAlignment="1">
      <alignment horizontal="left" vertical="center" indent="5"/>
    </xf>
    <xf numFmtId="0" fontId="0" fillId="34" borderId="18" xfId="0" applyFill="1" applyBorder="1" applyAlignment="1">
      <alignment horizontal="left" vertical="center" indent="5"/>
    </xf>
    <xf numFmtId="0" fontId="0" fillId="34" borderId="15" xfId="0" applyFill="1" applyBorder="1" applyAlignment="1">
      <alignment horizontal="left" vertical="center" indent="5"/>
    </xf>
    <xf numFmtId="0" fontId="0" fillId="34" borderId="18" xfId="0" applyFill="1" applyBorder="1" applyAlignment="1">
      <alignment horizontal="left" indent="3"/>
    </xf>
    <xf numFmtId="0" fontId="43" fillId="34" borderId="18" xfId="0" applyFont="1" applyFill="1" applyBorder="1" applyAlignment="1">
      <alignment horizontal="left" indent="2"/>
    </xf>
    <xf numFmtId="0" fontId="0" fillId="34" borderId="18" xfId="0" applyFont="1" applyFill="1" applyBorder="1" applyAlignment="1">
      <alignment horizontal="left" vertical="center" indent="3"/>
    </xf>
    <xf numFmtId="0" fontId="0" fillId="34" borderId="18" xfId="0" applyFont="1" applyFill="1" applyBorder="1" applyAlignment="1">
      <alignment horizontal="left" indent="3"/>
    </xf>
    <xf numFmtId="0" fontId="0" fillId="34" borderId="15" xfId="0" applyFill="1" applyBorder="1" applyAlignment="1" applyProtection="1">
      <alignment horizontal="left" vertical="center" wrapText="1" indent="6"/>
      <protection locked="0"/>
    </xf>
    <xf numFmtId="4" fontId="43" fillId="33" borderId="11" xfId="0" applyNumberFormat="1" applyFont="1" applyFill="1" applyBorder="1" applyAlignment="1" applyProtection="1">
      <alignment horizontal="center" vertical="center"/>
      <protection locked="0"/>
    </xf>
    <xf numFmtId="4" fontId="0" fillId="34" borderId="15" xfId="0" applyNumberFormat="1" applyFill="1" applyBorder="1" applyAlignment="1">
      <alignment vertical="center"/>
    </xf>
    <xf numFmtId="4" fontId="0" fillId="34" borderId="15" xfId="47" applyNumberFormat="1" applyFont="1" applyFill="1" applyBorder="1" applyAlignment="1" applyProtection="1">
      <alignment vertical="center"/>
      <protection locked="0"/>
    </xf>
    <xf numFmtId="4" fontId="0" fillId="34" borderId="15" xfId="47" applyNumberFormat="1" applyFont="1" applyFill="1" applyBorder="1" applyAlignment="1">
      <alignment vertical="center"/>
    </xf>
    <xf numFmtId="4" fontId="43" fillId="34" borderId="15" xfId="47" applyNumberFormat="1" applyFont="1" applyFill="1" applyBorder="1" applyAlignment="1" applyProtection="1">
      <alignment vertical="center"/>
      <protection locked="0"/>
    </xf>
    <xf numFmtId="4" fontId="0" fillId="34" borderId="13" xfId="0" applyNumberFormat="1" applyFill="1" applyBorder="1" applyAlignment="1">
      <alignment vertical="center"/>
    </xf>
    <xf numFmtId="4" fontId="0" fillId="0" borderId="0" xfId="0" applyNumberFormat="1" applyAlignment="1">
      <alignment/>
    </xf>
    <xf numFmtId="4" fontId="43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43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0" fillId="34" borderId="15" xfId="0" applyNumberFormat="1" applyFill="1" applyBorder="1" applyAlignment="1">
      <alignment/>
    </xf>
    <xf numFmtId="4" fontId="0" fillId="34" borderId="15" xfId="47" applyNumberFormat="1" applyFont="1" applyFill="1" applyBorder="1" applyAlignment="1">
      <alignment/>
    </xf>
    <xf numFmtId="4" fontId="43" fillId="0" borderId="15" xfId="47" applyNumberFormat="1" applyFont="1" applyFill="1" applyBorder="1" applyAlignment="1" applyProtection="1">
      <alignment vertical="center"/>
      <protection locked="0"/>
    </xf>
    <xf numFmtId="4" fontId="0" fillId="34" borderId="13" xfId="0" applyNumberFormat="1" applyFill="1" applyBorder="1" applyAlignment="1">
      <alignment/>
    </xf>
    <xf numFmtId="4" fontId="0" fillId="34" borderId="0" xfId="0" applyNumberFormat="1" applyFill="1" applyAlignment="1">
      <alignment/>
    </xf>
    <xf numFmtId="4" fontId="43" fillId="33" borderId="10" xfId="0" applyNumberFormat="1" applyFont="1" applyFill="1" applyBorder="1" applyAlignment="1">
      <alignment horizontal="center" vertical="center" wrapText="1"/>
    </xf>
    <xf numFmtId="4" fontId="0" fillId="33" borderId="16" xfId="47" applyNumberFormat="1" applyFont="1" applyFill="1" applyBorder="1" applyAlignment="1">
      <alignment/>
    </xf>
    <xf numFmtId="4" fontId="0" fillId="33" borderId="16" xfId="47" applyNumberFormat="1" applyFont="1" applyFill="1" applyBorder="1" applyAlignment="1">
      <alignment vertical="center"/>
    </xf>
    <xf numFmtId="4" fontId="43" fillId="34" borderId="15" xfId="47" applyNumberFormat="1" applyFont="1" applyFill="1" applyBorder="1" applyAlignment="1" applyProtection="1">
      <alignment/>
      <protection locked="0"/>
    </xf>
    <xf numFmtId="4" fontId="47" fillId="33" borderId="16" xfId="47" applyNumberFormat="1" applyFont="1" applyFill="1" applyBorder="1" applyAlignment="1">
      <alignment vertical="center"/>
    </xf>
    <xf numFmtId="4" fontId="0" fillId="0" borderId="15" xfId="47" applyNumberFormat="1" applyFont="1" applyFill="1" applyBorder="1" applyAlignment="1" applyProtection="1">
      <alignment vertical="center"/>
      <protection locked="0"/>
    </xf>
    <xf numFmtId="4" fontId="0" fillId="34" borderId="15" xfId="47" applyNumberFormat="1" applyFont="1" applyFill="1" applyBorder="1" applyAlignment="1" applyProtection="1">
      <alignment/>
      <protection locked="0"/>
    </xf>
    <xf numFmtId="4" fontId="47" fillId="33" borderId="16" xfId="47" applyNumberFormat="1" applyFont="1" applyFill="1" applyBorder="1" applyAlignment="1">
      <alignment/>
    </xf>
    <xf numFmtId="4" fontId="0" fillId="0" borderId="15" xfId="47" applyNumberFormat="1" applyFont="1" applyFill="1" applyBorder="1" applyAlignment="1" applyProtection="1">
      <alignment/>
      <protection locked="0"/>
    </xf>
    <xf numFmtId="4" fontId="43" fillId="34" borderId="17" xfId="47" applyNumberFormat="1" applyFont="1" applyFill="1" applyBorder="1" applyAlignment="1" applyProtection="1">
      <alignment vertical="center"/>
      <protection locked="0"/>
    </xf>
    <xf numFmtId="4" fontId="43" fillId="34" borderId="19" xfId="47" applyNumberFormat="1" applyFont="1" applyFill="1" applyBorder="1" applyAlignment="1" applyProtection="1">
      <alignment vertical="center"/>
      <protection locked="0"/>
    </xf>
    <xf numFmtId="4" fontId="0" fillId="34" borderId="18" xfId="47" applyNumberFormat="1" applyFont="1" applyFill="1" applyBorder="1" applyAlignment="1" applyProtection="1">
      <alignment vertical="center"/>
      <protection locked="0"/>
    </xf>
    <xf numFmtId="4" fontId="43" fillId="34" borderId="18" xfId="47" applyNumberFormat="1" applyFont="1" applyFill="1" applyBorder="1" applyAlignment="1" applyProtection="1">
      <alignment vertical="center"/>
      <protection locked="0"/>
    </xf>
    <xf numFmtId="4" fontId="0" fillId="34" borderId="18" xfId="47" applyNumberFormat="1" applyFont="1" applyFill="1" applyBorder="1" applyAlignment="1" applyProtection="1">
      <alignment vertical="center" wrapText="1"/>
      <protection locked="0"/>
    </xf>
    <xf numFmtId="4" fontId="0" fillId="34" borderId="18" xfId="47" applyNumberFormat="1" applyFont="1" applyFill="1" applyBorder="1" applyAlignment="1">
      <alignment vertical="center"/>
    </xf>
    <xf numFmtId="4" fontId="43" fillId="34" borderId="18" xfId="47" applyNumberFormat="1" applyFont="1" applyFill="1" applyBorder="1" applyAlignment="1" applyProtection="1">
      <alignment horizontal="right" vertical="center"/>
      <protection locked="0"/>
    </xf>
    <xf numFmtId="4" fontId="0" fillId="34" borderId="18" xfId="47" applyNumberFormat="1" applyFont="1" applyFill="1" applyBorder="1" applyAlignment="1" applyProtection="1">
      <alignment horizontal="right" vertical="center"/>
      <protection locked="0"/>
    </xf>
    <xf numFmtId="4" fontId="0" fillId="34" borderId="18" xfId="47" applyNumberFormat="1" applyFont="1" applyFill="1" applyBorder="1" applyAlignment="1">
      <alignment horizontal="right" vertical="center"/>
    </xf>
    <xf numFmtId="0" fontId="43" fillId="34" borderId="18" xfId="0" applyFont="1" applyFill="1" applyBorder="1" applyAlignment="1">
      <alignment horizontal="left" vertical="center" indent="3"/>
    </xf>
    <xf numFmtId="0" fontId="43" fillId="34" borderId="15" xfId="0" applyFont="1" applyFill="1" applyBorder="1" applyAlignment="1">
      <alignment horizontal="left" vertical="center" indent="6"/>
    </xf>
    <xf numFmtId="0" fontId="43" fillId="34" borderId="15" xfId="0" applyFont="1" applyFill="1" applyBorder="1" applyAlignment="1">
      <alignment horizontal="left" indent="6"/>
    </xf>
    <xf numFmtId="0" fontId="0" fillId="34" borderId="14" xfId="0" applyFill="1" applyBorder="1" applyAlignment="1">
      <alignment horizontal="center" vertical="center"/>
    </xf>
    <xf numFmtId="173" fontId="48" fillId="0" borderId="20" xfId="0" applyNumberFormat="1" applyFont="1" applyFill="1" applyBorder="1" applyAlignment="1">
      <alignment horizontal="right" vertical="center" wrapText="1" readingOrder="1"/>
    </xf>
    <xf numFmtId="173" fontId="48" fillId="0" borderId="13" xfId="0" applyNumberFormat="1" applyFont="1" applyFill="1" applyBorder="1" applyAlignment="1">
      <alignment horizontal="right" vertical="center" wrapText="1" readingOrder="1"/>
    </xf>
    <xf numFmtId="173" fontId="48" fillId="0" borderId="21" xfId="0" applyNumberFormat="1" applyFont="1" applyFill="1" applyBorder="1" applyAlignment="1">
      <alignment horizontal="right" vertical="center" wrapText="1" readingOrder="1"/>
    </xf>
    <xf numFmtId="173" fontId="48" fillId="0" borderId="22" xfId="0" applyNumberFormat="1" applyFont="1" applyFill="1" applyBorder="1" applyAlignment="1">
      <alignment horizontal="right" vertical="center" wrapText="1" readingOrder="1"/>
    </xf>
    <xf numFmtId="4" fontId="0" fillId="34" borderId="15" xfId="47" applyNumberFormat="1" applyFont="1" applyFill="1" applyBorder="1" applyAlignment="1" applyProtection="1">
      <alignment vertical="center"/>
      <protection/>
    </xf>
    <xf numFmtId="4" fontId="0" fillId="34" borderId="14" xfId="47" applyNumberFormat="1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/>
    </xf>
    <xf numFmtId="0" fontId="0" fillId="34" borderId="13" xfId="0" applyFill="1" applyBorder="1" applyAlignment="1">
      <alignment horizontal="left" vertical="center" indent="9"/>
    </xf>
    <xf numFmtId="4" fontId="0" fillId="34" borderId="13" xfId="47" applyNumberFormat="1" applyFont="1" applyFill="1" applyBorder="1" applyAlignment="1" applyProtection="1">
      <alignment vertical="center"/>
      <protection locked="0"/>
    </xf>
    <xf numFmtId="4" fontId="0" fillId="34" borderId="15" xfId="47" applyNumberFormat="1" applyFont="1" applyFill="1" applyBorder="1" applyAlignment="1" applyProtection="1">
      <alignment vertical="center"/>
      <protection locked="0"/>
    </xf>
    <xf numFmtId="4" fontId="0" fillId="34" borderId="15" xfId="47" applyNumberFormat="1" applyFont="1" applyFill="1" applyBorder="1" applyAlignment="1" applyProtection="1">
      <alignment vertical="center"/>
      <protection locked="0"/>
    </xf>
    <xf numFmtId="4" fontId="0" fillId="34" borderId="15" xfId="47" applyNumberFormat="1" applyFont="1" applyFill="1" applyBorder="1" applyAlignment="1" applyProtection="1">
      <alignment vertical="center"/>
      <protection locked="0"/>
    </xf>
    <xf numFmtId="4" fontId="0" fillId="34" borderId="15" xfId="47" applyNumberFormat="1" applyFont="1" applyFill="1" applyBorder="1" applyAlignment="1" applyProtection="1">
      <alignment vertical="center"/>
      <protection locked="0"/>
    </xf>
    <xf numFmtId="4" fontId="0" fillId="34" borderId="15" xfId="47" applyNumberFormat="1" applyFont="1" applyFill="1" applyBorder="1" applyAlignment="1" applyProtection="1">
      <alignment vertical="center"/>
      <protection locked="0"/>
    </xf>
    <xf numFmtId="171" fontId="0" fillId="0" borderId="0" xfId="47" applyFont="1" applyAlignment="1">
      <alignment/>
    </xf>
    <xf numFmtId="171" fontId="0" fillId="34" borderId="23" xfId="47" applyFont="1" applyFill="1" applyBorder="1" applyAlignment="1">
      <alignment horizontal="center"/>
    </xf>
    <xf numFmtId="0" fontId="44" fillId="34" borderId="24" xfId="0" applyFont="1" applyFill="1" applyBorder="1" applyAlignment="1">
      <alignment horizontal="left" vertical="center"/>
    </xf>
    <xf numFmtId="0" fontId="43" fillId="33" borderId="25" xfId="0" applyFont="1" applyFill="1" applyBorder="1" applyAlignment="1" applyProtection="1">
      <alignment horizontal="center" vertical="center"/>
      <protection/>
    </xf>
    <xf numFmtId="0" fontId="43" fillId="33" borderId="26" xfId="0" applyFont="1" applyFill="1" applyBorder="1" applyAlignment="1" applyProtection="1">
      <alignment horizontal="center" vertical="center"/>
      <protection/>
    </xf>
    <xf numFmtId="0" fontId="43" fillId="33" borderId="19" xfId="0" applyFont="1" applyFill="1" applyBorder="1" applyAlignment="1" applyProtection="1">
      <alignment horizontal="center" vertical="center"/>
      <protection/>
    </xf>
    <xf numFmtId="0" fontId="43" fillId="33" borderId="14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center" vertical="center"/>
    </xf>
    <xf numFmtId="0" fontId="43" fillId="33" borderId="18" xfId="0" applyFont="1" applyFill="1" applyBorder="1" applyAlignment="1">
      <alignment horizontal="center" vertical="center"/>
    </xf>
    <xf numFmtId="0" fontId="43" fillId="33" borderId="14" xfId="0" applyFont="1" applyFill="1" applyBorder="1" applyAlignment="1" applyProtection="1">
      <alignment horizontal="center" vertical="center"/>
      <protection/>
    </xf>
    <xf numFmtId="0" fontId="43" fillId="33" borderId="0" xfId="0" applyFont="1" applyFill="1" applyBorder="1" applyAlignment="1" applyProtection="1">
      <alignment horizontal="center" vertical="center"/>
      <protection/>
    </xf>
    <xf numFmtId="0" fontId="43" fillId="33" borderId="18" xfId="0" applyFont="1" applyFill="1" applyBorder="1" applyAlignment="1" applyProtection="1">
      <alignment horizontal="center" vertical="center"/>
      <protection/>
    </xf>
    <xf numFmtId="0" fontId="43" fillId="33" borderId="27" xfId="0" applyFont="1" applyFill="1" applyBorder="1" applyAlignment="1">
      <alignment horizontal="center" vertical="center"/>
    </xf>
    <xf numFmtId="0" fontId="43" fillId="33" borderId="24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justify" vertical="center" wrapText="1"/>
    </xf>
    <xf numFmtId="0" fontId="5" fillId="34" borderId="0" xfId="0" applyFont="1" applyFill="1" applyBorder="1" applyAlignment="1">
      <alignment horizontal="justify" vertical="center" wrapText="1"/>
    </xf>
    <xf numFmtId="0" fontId="49" fillId="34" borderId="24" xfId="0" applyFont="1" applyFill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3" fillId="33" borderId="17" xfId="0" applyFont="1" applyFill="1" applyBorder="1" applyAlignment="1">
      <alignment horizontal="center" vertical="center"/>
    </xf>
    <xf numFmtId="0" fontId="43" fillId="33" borderId="13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left" vertical="center" wrapText="1"/>
    </xf>
    <xf numFmtId="0" fontId="43" fillId="33" borderId="17" xfId="0" applyFont="1" applyFill="1" applyBorder="1" applyAlignment="1" applyProtection="1">
      <alignment horizontal="center" vertical="center"/>
      <protection/>
    </xf>
    <xf numFmtId="0" fontId="43" fillId="33" borderId="15" xfId="0" applyFont="1" applyFill="1" applyBorder="1" applyAlignment="1">
      <alignment horizontal="center" vertical="center"/>
    </xf>
    <xf numFmtId="0" fontId="44" fillId="0" borderId="24" xfId="0" applyFont="1" applyBorder="1" applyAlignment="1">
      <alignment horizontal="left" vertical="center" wrapText="1"/>
    </xf>
    <xf numFmtId="0" fontId="43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ntabilidad\Downloads\Formatos_Anexo_1_Criterios_LDF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lias\Desktop\Estados%20Financieros\2019%20Reforma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zoomScalePageLayoutView="0" workbookViewId="0" topLeftCell="A1">
      <selection activeCell="E81" sqref="E81"/>
    </sheetView>
  </sheetViews>
  <sheetFormatPr defaultColWidth="1.8515625" defaultRowHeight="15" zeroHeight="1"/>
  <cols>
    <col min="1" max="1" width="90.8515625" style="0" customWidth="1"/>
    <col min="2" max="3" width="20.00390625" style="88" customWidth="1"/>
    <col min="4" max="4" width="94.421875" style="0" customWidth="1"/>
    <col min="5" max="6" width="20.00390625" style="88" customWidth="1"/>
    <col min="7" max="255" width="11.421875" style="0" hidden="1" customWidth="1"/>
  </cols>
  <sheetData>
    <row r="1" spans="1:6" ht="21">
      <c r="A1" s="134" t="s">
        <v>0</v>
      </c>
      <c r="B1" s="134"/>
      <c r="C1" s="134"/>
      <c r="D1" s="134"/>
      <c r="E1" s="134"/>
      <c r="F1" s="134"/>
    </row>
    <row r="2" spans="1:6" ht="15">
      <c r="A2" s="135" t="s">
        <v>291</v>
      </c>
      <c r="B2" s="136"/>
      <c r="C2" s="136"/>
      <c r="D2" s="136"/>
      <c r="E2" s="136"/>
      <c r="F2" s="137"/>
    </row>
    <row r="3" spans="1:6" ht="15">
      <c r="A3" s="138" t="s">
        <v>1</v>
      </c>
      <c r="B3" s="139"/>
      <c r="C3" s="139"/>
      <c r="D3" s="139"/>
      <c r="E3" s="139"/>
      <c r="F3" s="140"/>
    </row>
    <row r="4" spans="1:6" ht="15">
      <c r="A4" s="141" t="s">
        <v>465</v>
      </c>
      <c r="B4" s="142"/>
      <c r="C4" s="142"/>
      <c r="D4" s="142"/>
      <c r="E4" s="142"/>
      <c r="F4" s="143"/>
    </row>
    <row r="5" spans="1:6" ht="15">
      <c r="A5" s="144" t="s">
        <v>2</v>
      </c>
      <c r="B5" s="145"/>
      <c r="C5" s="145"/>
      <c r="D5" s="145"/>
      <c r="E5" s="145"/>
      <c r="F5" s="146"/>
    </row>
    <row r="6" spans="1:6" ht="30">
      <c r="A6" s="1" t="s">
        <v>3</v>
      </c>
      <c r="B6" s="82" t="s">
        <v>463</v>
      </c>
      <c r="C6" s="89" t="s">
        <v>464</v>
      </c>
      <c r="D6" s="3" t="s">
        <v>4</v>
      </c>
      <c r="E6" s="82" t="s">
        <v>463</v>
      </c>
      <c r="F6" s="89" t="s">
        <v>464</v>
      </c>
    </row>
    <row r="7" spans="1:6" ht="15">
      <c r="A7" s="61" t="s">
        <v>5</v>
      </c>
      <c r="B7" s="83"/>
      <c r="C7" s="83"/>
      <c r="D7" s="72" t="s">
        <v>6</v>
      </c>
      <c r="E7" s="83"/>
      <c r="F7" s="83"/>
    </row>
    <row r="8" spans="1:6" ht="15">
      <c r="A8" s="61" t="s">
        <v>7</v>
      </c>
      <c r="B8" s="83"/>
      <c r="C8" s="83"/>
      <c r="D8" s="72" t="s">
        <v>8</v>
      </c>
      <c r="E8" s="83"/>
      <c r="F8" s="83"/>
    </row>
    <row r="9" spans="1:6" ht="15">
      <c r="A9" s="23" t="s">
        <v>9</v>
      </c>
      <c r="B9" s="86">
        <f>SUM(B10:B16)</f>
        <v>2455412466.1499996</v>
      </c>
      <c r="C9" s="86">
        <f>SUM(C10:C16)</f>
        <v>1212944675.5000002</v>
      </c>
      <c r="D9" s="114" t="s">
        <v>10</v>
      </c>
      <c r="E9" s="86">
        <f>SUM(E10:E18)</f>
        <v>111502444.62</v>
      </c>
      <c r="F9" s="86">
        <f>SUM(F10:F18)</f>
        <v>94039331.82</v>
      </c>
    </row>
    <row r="10" spans="1:6" ht="15">
      <c r="A10" s="74" t="s">
        <v>11</v>
      </c>
      <c r="B10" s="84">
        <v>165200</v>
      </c>
      <c r="C10" s="131">
        <v>165200</v>
      </c>
      <c r="D10" s="75" t="s">
        <v>12</v>
      </c>
      <c r="E10" s="84">
        <v>0</v>
      </c>
      <c r="F10" s="131">
        <v>0</v>
      </c>
    </row>
    <row r="11" spans="1:6" ht="15">
      <c r="A11" s="74" t="s">
        <v>13</v>
      </c>
      <c r="B11" s="84">
        <v>52422641.46</v>
      </c>
      <c r="C11" s="131">
        <v>142582927.76</v>
      </c>
      <c r="D11" s="75" t="s">
        <v>14</v>
      </c>
      <c r="E11" s="84">
        <v>4813875.6</v>
      </c>
      <c r="F11" s="131">
        <v>20718465.96</v>
      </c>
    </row>
    <row r="12" spans="1:6" ht="15">
      <c r="A12" s="74" t="s">
        <v>15</v>
      </c>
      <c r="B12" s="84">
        <v>0</v>
      </c>
      <c r="C12" s="131">
        <v>0</v>
      </c>
      <c r="D12" s="75" t="s">
        <v>16</v>
      </c>
      <c r="E12" s="84">
        <v>0</v>
      </c>
      <c r="F12" s="131">
        <v>0</v>
      </c>
    </row>
    <row r="13" spans="1:6" ht="15">
      <c r="A13" s="74" t="s">
        <v>17</v>
      </c>
      <c r="B13" s="84">
        <v>2262190048.45</v>
      </c>
      <c r="C13" s="131">
        <v>958658390.1</v>
      </c>
      <c r="D13" s="75" t="s">
        <v>18</v>
      </c>
      <c r="E13" s="84">
        <v>0</v>
      </c>
      <c r="F13" s="131">
        <v>12774798</v>
      </c>
    </row>
    <row r="14" spans="1:6" ht="15">
      <c r="A14" s="74" t="s">
        <v>19</v>
      </c>
      <c r="B14" s="84">
        <v>0</v>
      </c>
      <c r="C14" s="131">
        <v>0</v>
      </c>
      <c r="D14" s="75" t="s">
        <v>20</v>
      </c>
      <c r="E14" s="84">
        <v>0</v>
      </c>
      <c r="F14" s="131">
        <v>0</v>
      </c>
    </row>
    <row r="15" spans="1:6" ht="15">
      <c r="A15" s="74" t="s">
        <v>21</v>
      </c>
      <c r="B15" s="84">
        <v>140634576.24</v>
      </c>
      <c r="C15" s="131">
        <v>111538157.64</v>
      </c>
      <c r="D15" s="75" t="s">
        <v>22</v>
      </c>
      <c r="E15" s="84">
        <v>0</v>
      </c>
      <c r="F15" s="131">
        <v>0</v>
      </c>
    </row>
    <row r="16" spans="1:6" ht="15">
      <c r="A16" s="74" t="s">
        <v>23</v>
      </c>
      <c r="B16" s="84">
        <v>0</v>
      </c>
      <c r="C16" s="131">
        <v>0</v>
      </c>
      <c r="D16" s="75" t="s">
        <v>24</v>
      </c>
      <c r="E16" s="84">
        <v>67257505.29</v>
      </c>
      <c r="F16" s="131">
        <v>23631190.58</v>
      </c>
    </row>
    <row r="17" spans="1:6" ht="15">
      <c r="A17" s="23" t="s">
        <v>25</v>
      </c>
      <c r="B17" s="86">
        <f>SUM(B18:B24)</f>
        <v>61344052.54</v>
      </c>
      <c r="C17" s="86">
        <f>SUM(C18:C24)</f>
        <v>60879907.59</v>
      </c>
      <c r="D17" s="75" t="s">
        <v>26</v>
      </c>
      <c r="E17" s="84">
        <v>0</v>
      </c>
      <c r="F17" s="131">
        <v>0</v>
      </c>
    </row>
    <row r="18" spans="1:6" ht="15">
      <c r="A18" s="76" t="s">
        <v>27</v>
      </c>
      <c r="B18" s="84">
        <v>0</v>
      </c>
      <c r="C18" s="131">
        <v>0</v>
      </c>
      <c r="D18" s="75" t="s">
        <v>28</v>
      </c>
      <c r="E18" s="84">
        <v>39431063.73</v>
      </c>
      <c r="F18" s="131">
        <v>36914877.28</v>
      </c>
    </row>
    <row r="19" spans="1:6" ht="15">
      <c r="A19" s="76" t="s">
        <v>29</v>
      </c>
      <c r="B19" s="84">
        <v>0</v>
      </c>
      <c r="C19" s="131">
        <v>0</v>
      </c>
      <c r="D19" s="114" t="s">
        <v>30</v>
      </c>
      <c r="E19" s="86">
        <f>SUM(E20:E22)</f>
        <v>0</v>
      </c>
      <c r="F19" s="86">
        <f>SUM(F20:F22)</f>
        <v>0</v>
      </c>
    </row>
    <row r="20" spans="1:6" ht="15">
      <c r="A20" s="76" t="s">
        <v>31</v>
      </c>
      <c r="B20" s="84">
        <v>17965770.32</v>
      </c>
      <c r="C20" s="131">
        <v>959150.99</v>
      </c>
      <c r="D20" s="75" t="s">
        <v>32</v>
      </c>
      <c r="E20" s="84">
        <v>0</v>
      </c>
      <c r="F20" s="131">
        <v>0</v>
      </c>
    </row>
    <row r="21" spans="1:6" ht="15">
      <c r="A21" s="76" t="s">
        <v>33</v>
      </c>
      <c r="B21" s="84">
        <v>3942738</v>
      </c>
      <c r="C21" s="131">
        <v>5343012</v>
      </c>
      <c r="D21" s="75" t="s">
        <v>34</v>
      </c>
      <c r="E21" s="84">
        <v>0</v>
      </c>
      <c r="F21" s="131">
        <v>0</v>
      </c>
    </row>
    <row r="22" spans="1:6" ht="15">
      <c r="A22" s="76" t="s">
        <v>35</v>
      </c>
      <c r="B22" s="84">
        <v>38822804.82</v>
      </c>
      <c r="C22" s="131">
        <v>53965005.2</v>
      </c>
      <c r="D22" s="75" t="s">
        <v>36</v>
      </c>
      <c r="E22" s="84">
        <v>0</v>
      </c>
      <c r="F22" s="131">
        <v>0</v>
      </c>
    </row>
    <row r="23" spans="1:6" ht="15">
      <c r="A23" s="76" t="s">
        <v>37</v>
      </c>
      <c r="B23" s="84">
        <v>612739.4</v>
      </c>
      <c r="C23" s="131">
        <v>612739.4</v>
      </c>
      <c r="D23" s="114" t="s">
        <v>38</v>
      </c>
      <c r="E23" s="86">
        <f>E24+E25</f>
        <v>47825257.97</v>
      </c>
      <c r="F23" s="86">
        <f>F24+F25</f>
        <v>49584189.38</v>
      </c>
    </row>
    <row r="24" spans="1:6" ht="15">
      <c r="A24" s="76" t="s">
        <v>39</v>
      </c>
      <c r="B24" s="84">
        <v>0</v>
      </c>
      <c r="C24" s="131">
        <v>0</v>
      </c>
      <c r="D24" s="75" t="s">
        <v>40</v>
      </c>
      <c r="E24" s="84">
        <v>47825257.97</v>
      </c>
      <c r="F24" s="131">
        <v>49584189.38</v>
      </c>
    </row>
    <row r="25" spans="1:6" ht="15">
      <c r="A25" s="23" t="s">
        <v>41</v>
      </c>
      <c r="B25" s="86">
        <f>SUM(B26:B30)</f>
        <v>1310138.42</v>
      </c>
      <c r="C25" s="86">
        <f>SUM(C26:C30)</f>
        <v>4528748.45</v>
      </c>
      <c r="D25" s="75" t="s">
        <v>42</v>
      </c>
      <c r="E25" s="84">
        <v>0</v>
      </c>
      <c r="F25" s="131">
        <v>0</v>
      </c>
    </row>
    <row r="26" spans="1:6" ht="15">
      <c r="A26" s="76" t="s">
        <v>43</v>
      </c>
      <c r="B26" s="84">
        <v>0</v>
      </c>
      <c r="C26" s="131">
        <v>0</v>
      </c>
      <c r="D26" s="114" t="s">
        <v>44</v>
      </c>
      <c r="E26" s="86">
        <v>0</v>
      </c>
      <c r="F26" s="86">
        <v>0</v>
      </c>
    </row>
    <row r="27" spans="1:6" ht="15">
      <c r="A27" s="76" t="s">
        <v>45</v>
      </c>
      <c r="B27" s="84">
        <v>922000</v>
      </c>
      <c r="C27" s="131">
        <v>4140610.03</v>
      </c>
      <c r="D27" s="114" t="s">
        <v>46</v>
      </c>
      <c r="E27" s="86">
        <f>SUM(E28:E30)</f>
        <v>0</v>
      </c>
      <c r="F27" s="86">
        <f>SUM(F28:F30)</f>
        <v>0</v>
      </c>
    </row>
    <row r="28" spans="1:6" ht="15">
      <c r="A28" s="76" t="s">
        <v>47</v>
      </c>
      <c r="B28" s="84">
        <v>0</v>
      </c>
      <c r="C28" s="131">
        <v>0</v>
      </c>
      <c r="D28" s="75" t="s">
        <v>48</v>
      </c>
      <c r="E28" s="84">
        <v>0</v>
      </c>
      <c r="F28" s="131">
        <v>0</v>
      </c>
    </row>
    <row r="29" spans="1:6" ht="15">
      <c r="A29" s="76" t="s">
        <v>49</v>
      </c>
      <c r="B29" s="84">
        <v>388138.42</v>
      </c>
      <c r="C29" s="131">
        <v>388138.42</v>
      </c>
      <c r="D29" s="75" t="s">
        <v>50</v>
      </c>
      <c r="E29" s="84">
        <v>0</v>
      </c>
      <c r="F29" s="131">
        <v>0</v>
      </c>
    </row>
    <row r="30" spans="1:6" ht="15">
      <c r="A30" s="76" t="s">
        <v>51</v>
      </c>
      <c r="B30" s="84">
        <v>0</v>
      </c>
      <c r="C30" s="131">
        <v>0</v>
      </c>
      <c r="D30" s="75" t="s">
        <v>52</v>
      </c>
      <c r="E30" s="84">
        <v>0</v>
      </c>
      <c r="F30" s="131">
        <v>0</v>
      </c>
    </row>
    <row r="31" spans="1:6" ht="15">
      <c r="A31" s="23" t="s">
        <v>53</v>
      </c>
      <c r="B31" s="86">
        <f>SUM(B32:B36)</f>
        <v>0</v>
      </c>
      <c r="C31" s="86">
        <f>SUM(C32:C36)</f>
        <v>0</v>
      </c>
      <c r="D31" s="114" t="s">
        <v>54</v>
      </c>
      <c r="E31" s="86">
        <f>SUM(E32:E37)</f>
        <v>136263394.36</v>
      </c>
      <c r="F31" s="86">
        <f>SUM(F32:F37)</f>
        <v>107421041.55000001</v>
      </c>
    </row>
    <row r="32" spans="1:6" ht="15">
      <c r="A32" s="76" t="s">
        <v>55</v>
      </c>
      <c r="B32" s="84">
        <v>0</v>
      </c>
      <c r="C32" s="131">
        <v>0</v>
      </c>
      <c r="D32" s="75" t="s">
        <v>56</v>
      </c>
      <c r="E32" s="84">
        <v>61586438.75</v>
      </c>
      <c r="F32" s="131">
        <v>61993292.67</v>
      </c>
    </row>
    <row r="33" spans="1:6" ht="15">
      <c r="A33" s="76" t="s">
        <v>57</v>
      </c>
      <c r="B33" s="84">
        <v>0</v>
      </c>
      <c r="C33" s="131">
        <v>0</v>
      </c>
      <c r="D33" s="75" t="s">
        <v>58</v>
      </c>
      <c r="E33" s="84">
        <v>74676955.61</v>
      </c>
      <c r="F33" s="131">
        <v>45427748.88</v>
      </c>
    </row>
    <row r="34" spans="1:6" ht="15">
      <c r="A34" s="76" t="s">
        <v>59</v>
      </c>
      <c r="B34" s="84">
        <v>0</v>
      </c>
      <c r="C34" s="131">
        <v>0</v>
      </c>
      <c r="D34" s="75" t="s">
        <v>60</v>
      </c>
      <c r="E34" s="84">
        <v>0</v>
      </c>
      <c r="F34" s="131">
        <v>0</v>
      </c>
    </row>
    <row r="35" spans="1:6" ht="15">
      <c r="A35" s="76" t="s">
        <v>61</v>
      </c>
      <c r="B35" s="84">
        <v>0</v>
      </c>
      <c r="C35" s="131">
        <v>0</v>
      </c>
      <c r="D35" s="75" t="s">
        <v>62</v>
      </c>
      <c r="E35" s="84">
        <v>0</v>
      </c>
      <c r="F35" s="131">
        <v>0</v>
      </c>
    </row>
    <row r="36" spans="1:6" ht="15">
      <c r="A36" s="76" t="s">
        <v>63</v>
      </c>
      <c r="B36" s="84">
        <v>0</v>
      </c>
      <c r="C36" s="131">
        <v>0</v>
      </c>
      <c r="D36" s="75" t="s">
        <v>64</v>
      </c>
      <c r="E36" s="84">
        <v>0</v>
      </c>
      <c r="F36" s="131">
        <v>0</v>
      </c>
    </row>
    <row r="37" spans="1:6" ht="15">
      <c r="A37" s="23" t="s">
        <v>65</v>
      </c>
      <c r="B37" s="84">
        <v>0</v>
      </c>
      <c r="C37" s="131">
        <v>0</v>
      </c>
      <c r="D37" s="75" t="s">
        <v>66</v>
      </c>
      <c r="E37" s="84">
        <v>0</v>
      </c>
      <c r="F37" s="131">
        <v>0</v>
      </c>
    </row>
    <row r="38" spans="1:6" ht="15">
      <c r="A38" s="23" t="s">
        <v>67</v>
      </c>
      <c r="B38" s="86">
        <f>SUM(B39:B40)</f>
        <v>0</v>
      </c>
      <c r="C38" s="86">
        <f>SUM(C39:C40)</f>
        <v>0</v>
      </c>
      <c r="D38" s="114" t="s">
        <v>68</v>
      </c>
      <c r="E38" s="86">
        <f>SUM(E39:E41)</f>
        <v>0</v>
      </c>
      <c r="F38" s="86">
        <f>SUM(F39:F41)</f>
        <v>0</v>
      </c>
    </row>
    <row r="39" spans="1:6" ht="15">
      <c r="A39" s="76" t="s">
        <v>69</v>
      </c>
      <c r="B39" s="84">
        <v>0</v>
      </c>
      <c r="C39" s="131">
        <v>0</v>
      </c>
      <c r="D39" s="75" t="s">
        <v>70</v>
      </c>
      <c r="E39" s="84">
        <v>0</v>
      </c>
      <c r="F39" s="131">
        <v>0</v>
      </c>
    </row>
    <row r="40" spans="1:6" ht="15">
      <c r="A40" s="76" t="s">
        <v>71</v>
      </c>
      <c r="B40" s="84">
        <v>0</v>
      </c>
      <c r="C40" s="131">
        <v>0</v>
      </c>
      <c r="D40" s="75" t="s">
        <v>72</v>
      </c>
      <c r="E40" s="84">
        <v>0</v>
      </c>
      <c r="F40" s="131">
        <v>0</v>
      </c>
    </row>
    <row r="41" spans="1:6" ht="15">
      <c r="A41" s="23" t="s">
        <v>73</v>
      </c>
      <c r="B41" s="86">
        <f>SUM(B42:B45)</f>
        <v>368745</v>
      </c>
      <c r="C41" s="86">
        <f>SUM(C42:C45)</f>
        <v>368745</v>
      </c>
      <c r="D41" s="75" t="s">
        <v>74</v>
      </c>
      <c r="E41" s="84">
        <v>0</v>
      </c>
      <c r="F41" s="131">
        <v>0</v>
      </c>
    </row>
    <row r="42" spans="1:6" ht="15">
      <c r="A42" s="76" t="s">
        <v>75</v>
      </c>
      <c r="B42" s="84">
        <v>368745</v>
      </c>
      <c r="C42" s="131">
        <v>368745</v>
      </c>
      <c r="D42" s="114" t="s">
        <v>76</v>
      </c>
      <c r="E42" s="86">
        <f>SUM(E43:E45)</f>
        <v>0</v>
      </c>
      <c r="F42" s="86">
        <f>SUM(F43:F45)</f>
        <v>0</v>
      </c>
    </row>
    <row r="43" spans="1:6" ht="15">
      <c r="A43" s="76" t="s">
        <v>77</v>
      </c>
      <c r="B43" s="84">
        <v>0</v>
      </c>
      <c r="C43" s="131">
        <v>0</v>
      </c>
      <c r="D43" s="75" t="s">
        <v>78</v>
      </c>
      <c r="E43" s="84">
        <v>0</v>
      </c>
      <c r="F43" s="131">
        <v>0</v>
      </c>
    </row>
    <row r="44" spans="1:6" ht="15">
      <c r="A44" s="76" t="s">
        <v>79</v>
      </c>
      <c r="B44" s="84">
        <v>0</v>
      </c>
      <c r="C44" s="131">
        <v>0</v>
      </c>
      <c r="D44" s="75" t="s">
        <v>80</v>
      </c>
      <c r="E44" s="84">
        <v>0</v>
      </c>
      <c r="F44" s="131">
        <v>0</v>
      </c>
    </row>
    <row r="45" spans="1:6" ht="15">
      <c r="A45" s="76" t="s">
        <v>81</v>
      </c>
      <c r="B45" s="84">
        <v>0</v>
      </c>
      <c r="C45" s="131">
        <v>0</v>
      </c>
      <c r="D45" s="75" t="s">
        <v>82</v>
      </c>
      <c r="E45" s="84">
        <v>0</v>
      </c>
      <c r="F45" s="131">
        <v>0</v>
      </c>
    </row>
    <row r="46" spans="1:6" ht="15">
      <c r="A46" s="34"/>
      <c r="B46" s="85"/>
      <c r="C46" s="85"/>
      <c r="D46" s="34"/>
      <c r="E46" s="85"/>
      <c r="F46" s="85"/>
    </row>
    <row r="47" spans="1:6" ht="15">
      <c r="A47" s="23" t="s">
        <v>83</v>
      </c>
      <c r="B47" s="86">
        <f>B9+B17+B25+B31+B38+B41</f>
        <v>2518435402.1099997</v>
      </c>
      <c r="C47" s="86">
        <f>C9+C17+C25+C31+C38+C41</f>
        <v>1278722076.5400002</v>
      </c>
      <c r="D47" s="72" t="s">
        <v>84</v>
      </c>
      <c r="E47" s="86">
        <f>E9+E19+E23+E26+E27+E31+E38+E42</f>
        <v>295591096.95000005</v>
      </c>
      <c r="F47" s="86">
        <f>F9+F19+F23+F26+F27+F31+F38+F42</f>
        <v>251044562.75</v>
      </c>
    </row>
    <row r="48" spans="1:6" ht="15">
      <c r="A48" s="34"/>
      <c r="B48" s="85"/>
      <c r="C48" s="85"/>
      <c r="D48" s="34"/>
      <c r="E48" s="85"/>
      <c r="F48" s="85"/>
    </row>
    <row r="49" spans="1:6" ht="15">
      <c r="A49" s="61" t="s">
        <v>85</v>
      </c>
      <c r="B49" s="85"/>
      <c r="C49" s="85"/>
      <c r="D49" s="72" t="s">
        <v>86</v>
      </c>
      <c r="E49" s="85"/>
      <c r="F49" s="85"/>
    </row>
    <row r="50" spans="1:6" ht="15">
      <c r="A50" s="22" t="s">
        <v>87</v>
      </c>
      <c r="B50" s="131">
        <v>98964716.04</v>
      </c>
      <c r="C50" s="131">
        <v>97622992.08</v>
      </c>
      <c r="D50" s="73" t="s">
        <v>88</v>
      </c>
      <c r="E50" s="84">
        <v>0</v>
      </c>
      <c r="F50" s="131">
        <v>0</v>
      </c>
    </row>
    <row r="51" spans="1:6" ht="15">
      <c r="A51" s="22" t="s">
        <v>89</v>
      </c>
      <c r="B51" s="131">
        <v>219692244.92</v>
      </c>
      <c r="C51" s="131">
        <v>162763918.88</v>
      </c>
      <c r="D51" s="73" t="s">
        <v>90</v>
      </c>
      <c r="E51" s="84">
        <v>0</v>
      </c>
      <c r="F51" s="131">
        <v>0</v>
      </c>
    </row>
    <row r="52" spans="1:6" ht="15">
      <c r="A52" s="22" t="s">
        <v>91</v>
      </c>
      <c r="B52" s="131">
        <v>13996092256.24</v>
      </c>
      <c r="C52" s="131">
        <v>13900121379.49</v>
      </c>
      <c r="D52" s="73" t="s">
        <v>92</v>
      </c>
      <c r="E52" s="131">
        <v>2197158852.25</v>
      </c>
      <c r="F52" s="131">
        <v>2207137578.54</v>
      </c>
    </row>
    <row r="53" spans="1:6" ht="15">
      <c r="A53" s="22" t="s">
        <v>93</v>
      </c>
      <c r="B53" s="131">
        <v>1605774907.85</v>
      </c>
      <c r="C53" s="131">
        <v>1594224824.37</v>
      </c>
      <c r="D53" s="73" t="s">
        <v>94</v>
      </c>
      <c r="E53" s="131">
        <v>13500000</v>
      </c>
      <c r="F53" s="131">
        <v>13500000</v>
      </c>
    </row>
    <row r="54" spans="1:6" ht="15">
      <c r="A54" s="22" t="s">
        <v>95</v>
      </c>
      <c r="B54" s="131">
        <v>92408214.4</v>
      </c>
      <c r="C54" s="131">
        <v>92366214.4</v>
      </c>
      <c r="D54" s="73" t="s">
        <v>96</v>
      </c>
      <c r="E54" s="84">
        <v>0</v>
      </c>
      <c r="F54" s="131">
        <v>0</v>
      </c>
    </row>
    <row r="55" spans="1:6" ht="15">
      <c r="A55" s="22" t="s">
        <v>97</v>
      </c>
      <c r="B55" s="131">
        <v>-1227356656.69</v>
      </c>
      <c r="C55" s="131">
        <v>-1197775639.53</v>
      </c>
      <c r="D55" s="77" t="s">
        <v>98</v>
      </c>
      <c r="E55" s="84">
        <v>0</v>
      </c>
      <c r="F55" s="131">
        <v>0</v>
      </c>
    </row>
    <row r="56" spans="1:6" ht="15">
      <c r="A56" s="22" t="s">
        <v>99</v>
      </c>
      <c r="B56" s="84">
        <v>0</v>
      </c>
      <c r="C56" s="131">
        <v>0</v>
      </c>
      <c r="D56" s="34"/>
      <c r="E56" s="85"/>
      <c r="F56" s="85"/>
    </row>
    <row r="57" spans="1:6" ht="15">
      <c r="A57" s="22" t="s">
        <v>100</v>
      </c>
      <c r="B57" s="84">
        <v>0</v>
      </c>
      <c r="C57" s="131">
        <v>0</v>
      </c>
      <c r="D57" s="72" t="s">
        <v>101</v>
      </c>
      <c r="E57" s="86">
        <f>SUM(E50:E55)</f>
        <v>2210658852.25</v>
      </c>
      <c r="F57" s="86">
        <f>SUM(F50:F55)</f>
        <v>2220637578.54</v>
      </c>
    </row>
    <row r="58" spans="1:6" ht="15">
      <c r="A58" s="22" t="s">
        <v>102</v>
      </c>
      <c r="B58" s="84">
        <v>0</v>
      </c>
      <c r="C58" s="131">
        <v>0</v>
      </c>
      <c r="D58" s="34"/>
      <c r="E58" s="85"/>
      <c r="F58" s="85"/>
    </row>
    <row r="59" spans="1:6" ht="15">
      <c r="A59" s="34"/>
      <c r="B59" s="85"/>
      <c r="C59" s="85"/>
      <c r="D59" s="72" t="s">
        <v>103</v>
      </c>
      <c r="E59" s="86">
        <f>E47+E57</f>
        <v>2506249949.2</v>
      </c>
      <c r="F59" s="86">
        <f>F47+F57</f>
        <v>2471682141.29</v>
      </c>
    </row>
    <row r="60" spans="1:6" ht="15">
      <c r="A60" s="23" t="s">
        <v>104</v>
      </c>
      <c r="B60" s="86">
        <f>SUM(B50:B58)</f>
        <v>14785575682.759998</v>
      </c>
      <c r="C60" s="86">
        <f>SUM(C50:C58)</f>
        <v>14649323689.689999</v>
      </c>
      <c r="D60" s="34"/>
      <c r="E60" s="85"/>
      <c r="F60" s="85"/>
    </row>
    <row r="61" spans="1:6" ht="15">
      <c r="A61" s="34"/>
      <c r="B61" s="85"/>
      <c r="C61" s="85"/>
      <c r="D61" s="78" t="s">
        <v>105</v>
      </c>
      <c r="E61" s="85"/>
      <c r="F61" s="85"/>
    </row>
    <row r="62" spans="1:6" ht="15">
      <c r="A62" s="23" t="s">
        <v>106</v>
      </c>
      <c r="B62" s="86">
        <f>SUM(B47+B60)</f>
        <v>17304011084.87</v>
      </c>
      <c r="C62" s="86">
        <f>SUM(C47+C60)</f>
        <v>15928045766.23</v>
      </c>
      <c r="D62" s="34"/>
      <c r="E62" s="85"/>
      <c r="F62" s="85"/>
    </row>
    <row r="63" spans="1:6" ht="15">
      <c r="A63" s="34"/>
      <c r="B63" s="83"/>
      <c r="C63" s="83"/>
      <c r="D63" s="72" t="s">
        <v>107</v>
      </c>
      <c r="E63" s="86">
        <f>SUM(E64:E66)</f>
        <v>3339424056.89</v>
      </c>
      <c r="F63" s="86">
        <f>SUM(F64:F66)</f>
        <v>3338405436.35</v>
      </c>
    </row>
    <row r="64" spans="1:6" ht="15">
      <c r="A64" s="34"/>
      <c r="B64" s="83"/>
      <c r="C64" s="83"/>
      <c r="D64" s="79" t="s">
        <v>108</v>
      </c>
      <c r="E64" s="84">
        <v>2829825052.64</v>
      </c>
      <c r="F64" s="131">
        <v>2829825052.64</v>
      </c>
    </row>
    <row r="65" spans="1:6" ht="15">
      <c r="A65" s="34"/>
      <c r="B65" s="83"/>
      <c r="C65" s="83"/>
      <c r="D65" s="80" t="s">
        <v>109</v>
      </c>
      <c r="E65" s="84">
        <v>509599004.25</v>
      </c>
      <c r="F65" s="131">
        <v>508580383.71</v>
      </c>
    </row>
    <row r="66" spans="1:6" ht="15">
      <c r="A66" s="34"/>
      <c r="B66" s="83"/>
      <c r="C66" s="83"/>
      <c r="D66" s="79" t="s">
        <v>110</v>
      </c>
      <c r="E66" s="84">
        <v>0</v>
      </c>
      <c r="F66" s="131">
        <v>0</v>
      </c>
    </row>
    <row r="67" spans="1:6" ht="15">
      <c r="A67" s="34"/>
      <c r="B67" s="83"/>
      <c r="C67" s="83"/>
      <c r="D67" s="34"/>
      <c r="E67" s="85"/>
      <c r="F67" s="85"/>
    </row>
    <row r="68" spans="1:6" ht="15">
      <c r="A68" s="34"/>
      <c r="B68" s="83"/>
      <c r="C68" s="83"/>
      <c r="D68" s="72" t="s">
        <v>111</v>
      </c>
      <c r="E68" s="86">
        <f>SUM(E69:E73)</f>
        <v>11458337078.78</v>
      </c>
      <c r="F68" s="86">
        <f>SUM(F69:F73)</f>
        <v>10117958188.59</v>
      </c>
    </row>
    <row r="69" spans="1:6" ht="15">
      <c r="A69" s="58"/>
      <c r="B69" s="83"/>
      <c r="C69" s="83"/>
      <c r="D69" s="79" t="s">
        <v>112</v>
      </c>
      <c r="E69" s="127">
        <v>1270058944.43</v>
      </c>
      <c r="F69" s="131">
        <v>803931218.59</v>
      </c>
    </row>
    <row r="70" spans="1:6" ht="15">
      <c r="A70" s="58"/>
      <c r="B70" s="83"/>
      <c r="C70" s="83"/>
      <c r="D70" s="79" t="s">
        <v>113</v>
      </c>
      <c r="E70" s="84">
        <v>9509926669.58</v>
      </c>
      <c r="F70" s="131">
        <v>8717903173.48</v>
      </c>
    </row>
    <row r="71" spans="1:6" ht="15">
      <c r="A71" s="58"/>
      <c r="B71" s="83"/>
      <c r="C71" s="83"/>
      <c r="D71" s="79" t="s">
        <v>114</v>
      </c>
      <c r="E71" s="84">
        <v>678351464.77</v>
      </c>
      <c r="F71" s="131">
        <v>596123796.52</v>
      </c>
    </row>
    <row r="72" spans="1:6" ht="15">
      <c r="A72" s="58"/>
      <c r="B72" s="83"/>
      <c r="C72" s="83"/>
      <c r="D72" s="79" t="s">
        <v>115</v>
      </c>
      <c r="E72" s="84">
        <v>0</v>
      </c>
      <c r="F72" s="131">
        <v>0</v>
      </c>
    </row>
    <row r="73" spans="1:6" ht="15">
      <c r="A73" s="58"/>
      <c r="B73" s="83"/>
      <c r="C73" s="83"/>
      <c r="D73" s="79" t="s">
        <v>116</v>
      </c>
      <c r="E73" s="84">
        <v>0</v>
      </c>
      <c r="F73" s="131">
        <v>0</v>
      </c>
    </row>
    <row r="74" spans="1:6" ht="15">
      <c r="A74" s="58"/>
      <c r="B74" s="83"/>
      <c r="C74" s="83"/>
      <c r="D74" s="34"/>
      <c r="E74" s="85"/>
      <c r="F74" s="85"/>
    </row>
    <row r="75" spans="1:6" ht="15">
      <c r="A75" s="58"/>
      <c r="B75" s="83"/>
      <c r="C75" s="83"/>
      <c r="D75" s="72" t="s">
        <v>117</v>
      </c>
      <c r="E75" s="86">
        <f>E76+E77</f>
        <v>0</v>
      </c>
      <c r="F75" s="86">
        <f>F76+F77</f>
        <v>0</v>
      </c>
    </row>
    <row r="76" spans="1:6" ht="15">
      <c r="A76" s="58"/>
      <c r="B76" s="83"/>
      <c r="C76" s="83"/>
      <c r="D76" s="73" t="s">
        <v>118</v>
      </c>
      <c r="E76" s="84">
        <v>0</v>
      </c>
      <c r="F76" s="131">
        <v>0</v>
      </c>
    </row>
    <row r="77" spans="1:6" ht="15">
      <c r="A77" s="58"/>
      <c r="B77" s="83"/>
      <c r="C77" s="83"/>
      <c r="D77" s="73" t="s">
        <v>119</v>
      </c>
      <c r="E77" s="84">
        <v>0</v>
      </c>
      <c r="F77" s="131">
        <v>0</v>
      </c>
    </row>
    <row r="78" spans="1:6" ht="15">
      <c r="A78" s="58"/>
      <c r="B78" s="83"/>
      <c r="C78" s="83"/>
      <c r="D78" s="34"/>
      <c r="E78" s="85"/>
      <c r="F78" s="85"/>
    </row>
    <row r="79" spans="1:6" ht="15">
      <c r="A79" s="58"/>
      <c r="B79" s="83"/>
      <c r="C79" s="83"/>
      <c r="D79" s="72" t="s">
        <v>120</v>
      </c>
      <c r="E79" s="86">
        <f>E63+E68+E75</f>
        <v>14797761135.67</v>
      </c>
      <c r="F79" s="86">
        <f>F63+F68+F75</f>
        <v>13456363624.94</v>
      </c>
    </row>
    <row r="80" spans="1:6" ht="15">
      <c r="A80" s="58"/>
      <c r="B80" s="83"/>
      <c r="C80" s="83"/>
      <c r="D80" s="34"/>
      <c r="E80" s="85"/>
      <c r="F80" s="85"/>
    </row>
    <row r="81" spans="1:6" ht="15">
      <c r="A81" s="58"/>
      <c r="B81" s="83"/>
      <c r="C81" s="83"/>
      <c r="D81" s="72" t="s">
        <v>121</v>
      </c>
      <c r="E81" s="86">
        <f>E59+E79</f>
        <v>17304011084.87</v>
      </c>
      <c r="F81" s="86">
        <f>F59+F79</f>
        <v>15928045766.23</v>
      </c>
    </row>
    <row r="82" spans="1:6" ht="15">
      <c r="A82" s="42"/>
      <c r="B82" s="87"/>
      <c r="C82" s="87"/>
      <c r="D82" s="35"/>
      <c r="E82" s="87"/>
      <c r="F82" s="87"/>
    </row>
    <row r="83" spans="5:6" ht="15">
      <c r="E83" s="132"/>
      <c r="F83" s="132"/>
    </row>
  </sheetData>
  <sheetProtection/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9:F45 E47:F47 B9:C62 E50:F81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41" r:id="rId1"/>
  <ignoredErrors>
    <ignoredError sqref="B62 B60 B47 B41 B38 B25 B17 B9 E9 E31 E27 E23 E19 E38 E42 E47 E57 E59 E63 E68 E75 E79 E81" unlockedFormula="1"/>
    <ignoredError sqref="B3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zoomScalePageLayoutView="0" workbookViewId="0" topLeftCell="A1">
      <selection activeCell="B32" sqref="B32"/>
    </sheetView>
  </sheetViews>
  <sheetFormatPr defaultColWidth="1.1484375" defaultRowHeight="15" zeroHeight="1"/>
  <cols>
    <col min="1" max="1" width="59.140625" style="0" customWidth="1"/>
    <col min="2" max="2" width="18.8515625" style="88" customWidth="1"/>
    <col min="3" max="4" width="19.421875" style="0" customWidth="1"/>
    <col min="5" max="5" width="21.140625" style="0" customWidth="1"/>
    <col min="6" max="6" width="20.7109375" style="0" customWidth="1"/>
    <col min="7" max="7" width="18.00390625" style="0" customWidth="1"/>
    <col min="8" max="8" width="21.28125" style="0" customWidth="1"/>
    <col min="9" max="255" width="11.421875" style="0" hidden="1" customWidth="1"/>
  </cols>
  <sheetData>
    <row r="1" spans="1:8" ht="26.25">
      <c r="A1" s="149" t="s">
        <v>122</v>
      </c>
      <c r="B1" s="149"/>
      <c r="C1" s="149"/>
      <c r="D1" s="149"/>
      <c r="E1" s="149"/>
      <c r="F1" s="149"/>
      <c r="G1" s="149"/>
      <c r="H1" s="149"/>
    </row>
    <row r="2" spans="1:8" ht="15">
      <c r="A2" s="135" t="s">
        <v>291</v>
      </c>
      <c r="B2" s="136"/>
      <c r="C2" s="136"/>
      <c r="D2" s="136"/>
      <c r="E2" s="136"/>
      <c r="F2" s="136"/>
      <c r="G2" s="136"/>
      <c r="H2" s="137"/>
    </row>
    <row r="3" spans="1:8" ht="15">
      <c r="A3" s="138" t="s">
        <v>123</v>
      </c>
      <c r="B3" s="139"/>
      <c r="C3" s="139"/>
      <c r="D3" s="139"/>
      <c r="E3" s="139"/>
      <c r="F3" s="139"/>
      <c r="G3" s="139"/>
      <c r="H3" s="140"/>
    </row>
    <row r="4" spans="1:8" ht="15">
      <c r="A4" s="141" t="s">
        <v>465</v>
      </c>
      <c r="B4" s="142"/>
      <c r="C4" s="142"/>
      <c r="D4" s="142"/>
      <c r="E4" s="142"/>
      <c r="F4" s="142"/>
      <c r="G4" s="142"/>
      <c r="H4" s="143"/>
    </row>
    <row r="5" spans="1:8" ht="15">
      <c r="A5" s="144" t="s">
        <v>2</v>
      </c>
      <c r="B5" s="145"/>
      <c r="C5" s="145"/>
      <c r="D5" s="145"/>
      <c r="E5" s="145"/>
      <c r="F5" s="145"/>
      <c r="G5" s="145"/>
      <c r="H5" s="146"/>
    </row>
    <row r="6" spans="1:8" ht="62.25" customHeight="1">
      <c r="A6" s="5" t="s">
        <v>124</v>
      </c>
      <c r="B6" s="90" t="s">
        <v>471</v>
      </c>
      <c r="C6" s="5" t="s">
        <v>125</v>
      </c>
      <c r="D6" s="5" t="s">
        <v>126</v>
      </c>
      <c r="E6" s="5" t="s">
        <v>127</v>
      </c>
      <c r="F6" s="5" t="s">
        <v>128</v>
      </c>
      <c r="G6" s="5" t="s">
        <v>129</v>
      </c>
      <c r="H6" s="6" t="s">
        <v>130</v>
      </c>
    </row>
    <row r="7" spans="1:8" ht="15">
      <c r="A7" s="58"/>
      <c r="B7" s="91"/>
      <c r="C7" s="58"/>
      <c r="D7" s="58"/>
      <c r="E7" s="58"/>
      <c r="F7" s="58"/>
      <c r="G7" s="58"/>
      <c r="H7" s="58"/>
    </row>
    <row r="8" spans="1:8" ht="15">
      <c r="A8" s="64" t="s">
        <v>131</v>
      </c>
      <c r="B8" s="86">
        <f>B9+B13</f>
        <v>2256721767.92</v>
      </c>
      <c r="C8" s="86">
        <f aca="true" t="shared" si="0" ref="C8:H8">C9+C13</f>
        <v>0</v>
      </c>
      <c r="D8" s="86">
        <f t="shared" si="0"/>
        <v>11737657.700000001</v>
      </c>
      <c r="E8" s="86">
        <f t="shared" si="0"/>
        <v>0</v>
      </c>
      <c r="F8" s="86">
        <f t="shared" si="0"/>
        <v>2244984110.22</v>
      </c>
      <c r="G8" s="86">
        <f t="shared" si="0"/>
        <v>36184948.58</v>
      </c>
      <c r="H8" s="86">
        <f t="shared" si="0"/>
        <v>0</v>
      </c>
    </row>
    <row r="9" spans="1:8" ht="15">
      <c r="A9" s="65" t="s">
        <v>132</v>
      </c>
      <c r="B9" s="84">
        <f>SUM(B10:B12)</f>
        <v>0</v>
      </c>
      <c r="C9" s="84">
        <f aca="true" t="shared" si="1" ref="C9:H9">SUM(C10:C12)</f>
        <v>0</v>
      </c>
      <c r="D9" s="84">
        <f t="shared" si="1"/>
        <v>0</v>
      </c>
      <c r="E9" s="84">
        <f t="shared" si="1"/>
        <v>0</v>
      </c>
      <c r="F9" s="84">
        <f t="shared" si="1"/>
        <v>0</v>
      </c>
      <c r="G9" s="84">
        <f t="shared" si="1"/>
        <v>0</v>
      </c>
      <c r="H9" s="84">
        <f t="shared" si="1"/>
        <v>0</v>
      </c>
    </row>
    <row r="10" spans="1:8" ht="15">
      <c r="A10" s="66" t="s">
        <v>133</v>
      </c>
      <c r="B10" s="84">
        <v>0</v>
      </c>
      <c r="C10" s="84">
        <v>0</v>
      </c>
      <c r="D10" s="84">
        <v>0</v>
      </c>
      <c r="E10" s="84">
        <v>0</v>
      </c>
      <c r="F10" s="84">
        <v>0</v>
      </c>
      <c r="G10" s="84">
        <v>0</v>
      </c>
      <c r="H10" s="84">
        <v>0</v>
      </c>
    </row>
    <row r="11" spans="1:8" ht="15">
      <c r="A11" s="66" t="s">
        <v>134</v>
      </c>
      <c r="B11" s="84">
        <v>0</v>
      </c>
      <c r="C11" s="84">
        <v>0</v>
      </c>
      <c r="D11" s="84">
        <v>0</v>
      </c>
      <c r="E11" s="84">
        <v>0</v>
      </c>
      <c r="F11" s="84">
        <v>0</v>
      </c>
      <c r="G11" s="84">
        <v>0</v>
      </c>
      <c r="H11" s="84">
        <v>0</v>
      </c>
    </row>
    <row r="12" spans="1:8" ht="15">
      <c r="A12" s="66" t="s">
        <v>135</v>
      </c>
      <c r="B12" s="84">
        <v>0</v>
      </c>
      <c r="C12" s="84">
        <v>0</v>
      </c>
      <c r="D12" s="84">
        <v>0</v>
      </c>
      <c r="E12" s="84">
        <v>0</v>
      </c>
      <c r="F12" s="84">
        <v>0</v>
      </c>
      <c r="G12" s="84">
        <v>0</v>
      </c>
      <c r="H12" s="84">
        <v>0</v>
      </c>
    </row>
    <row r="13" spans="1:256" ht="15">
      <c r="A13" s="65" t="s">
        <v>136</v>
      </c>
      <c r="B13" s="84">
        <f>SUM(B14+B20+B21)</f>
        <v>2256721767.92</v>
      </c>
      <c r="C13" s="84">
        <f aca="true" t="shared" si="2" ref="C13:BN13">SUM(C14+C20+C21)</f>
        <v>0</v>
      </c>
      <c r="D13" s="84">
        <f t="shared" si="2"/>
        <v>11737657.700000001</v>
      </c>
      <c r="E13" s="84">
        <f t="shared" si="2"/>
        <v>0</v>
      </c>
      <c r="F13" s="84">
        <f t="shared" si="2"/>
        <v>2244984110.22</v>
      </c>
      <c r="G13" s="84">
        <f t="shared" si="2"/>
        <v>36184948.58</v>
      </c>
      <c r="H13" s="84">
        <f t="shared" si="2"/>
        <v>0</v>
      </c>
      <c r="I13" s="84">
        <f t="shared" si="2"/>
        <v>0</v>
      </c>
      <c r="J13" s="84">
        <f t="shared" si="2"/>
        <v>0</v>
      </c>
      <c r="K13" s="84">
        <f t="shared" si="2"/>
        <v>0</v>
      </c>
      <c r="L13" s="84">
        <f t="shared" si="2"/>
        <v>0</v>
      </c>
      <c r="M13" s="84">
        <f t="shared" si="2"/>
        <v>0</v>
      </c>
      <c r="N13" s="84">
        <f t="shared" si="2"/>
        <v>0</v>
      </c>
      <c r="O13" s="84">
        <f t="shared" si="2"/>
        <v>0</v>
      </c>
      <c r="P13" s="84">
        <f t="shared" si="2"/>
        <v>0</v>
      </c>
      <c r="Q13" s="84">
        <f t="shared" si="2"/>
        <v>0</v>
      </c>
      <c r="R13" s="84">
        <f t="shared" si="2"/>
        <v>0</v>
      </c>
      <c r="S13" s="84">
        <f t="shared" si="2"/>
        <v>0</v>
      </c>
      <c r="T13" s="84">
        <f t="shared" si="2"/>
        <v>0</v>
      </c>
      <c r="U13" s="84">
        <f t="shared" si="2"/>
        <v>0</v>
      </c>
      <c r="V13" s="84">
        <f t="shared" si="2"/>
        <v>0</v>
      </c>
      <c r="W13" s="84">
        <f t="shared" si="2"/>
        <v>0</v>
      </c>
      <c r="X13" s="84">
        <f t="shared" si="2"/>
        <v>0</v>
      </c>
      <c r="Y13" s="84">
        <f t="shared" si="2"/>
        <v>0</v>
      </c>
      <c r="Z13" s="84">
        <f t="shared" si="2"/>
        <v>0</v>
      </c>
      <c r="AA13" s="84">
        <f t="shared" si="2"/>
        <v>0</v>
      </c>
      <c r="AB13" s="84">
        <f t="shared" si="2"/>
        <v>0</v>
      </c>
      <c r="AC13" s="84">
        <f t="shared" si="2"/>
        <v>0</v>
      </c>
      <c r="AD13" s="84">
        <f t="shared" si="2"/>
        <v>0</v>
      </c>
      <c r="AE13" s="84">
        <f t="shared" si="2"/>
        <v>0</v>
      </c>
      <c r="AF13" s="84">
        <f t="shared" si="2"/>
        <v>0</v>
      </c>
      <c r="AG13" s="84">
        <f t="shared" si="2"/>
        <v>0</v>
      </c>
      <c r="AH13" s="84">
        <f t="shared" si="2"/>
        <v>0</v>
      </c>
      <c r="AI13" s="84">
        <f t="shared" si="2"/>
        <v>0</v>
      </c>
      <c r="AJ13" s="84">
        <f t="shared" si="2"/>
        <v>0</v>
      </c>
      <c r="AK13" s="84">
        <f t="shared" si="2"/>
        <v>0</v>
      </c>
      <c r="AL13" s="84">
        <f t="shared" si="2"/>
        <v>0</v>
      </c>
      <c r="AM13" s="84">
        <f t="shared" si="2"/>
        <v>0</v>
      </c>
      <c r="AN13" s="84">
        <f t="shared" si="2"/>
        <v>0</v>
      </c>
      <c r="AO13" s="84">
        <f t="shared" si="2"/>
        <v>0</v>
      </c>
      <c r="AP13" s="84">
        <f t="shared" si="2"/>
        <v>0</v>
      </c>
      <c r="AQ13" s="84">
        <f t="shared" si="2"/>
        <v>0</v>
      </c>
      <c r="AR13" s="84">
        <f t="shared" si="2"/>
        <v>0</v>
      </c>
      <c r="AS13" s="84">
        <f t="shared" si="2"/>
        <v>0</v>
      </c>
      <c r="AT13" s="84">
        <f t="shared" si="2"/>
        <v>0</v>
      </c>
      <c r="AU13" s="84">
        <f t="shared" si="2"/>
        <v>0</v>
      </c>
      <c r="AV13" s="84">
        <f t="shared" si="2"/>
        <v>0</v>
      </c>
      <c r="AW13" s="84">
        <f t="shared" si="2"/>
        <v>0</v>
      </c>
      <c r="AX13" s="84">
        <f t="shared" si="2"/>
        <v>0</v>
      </c>
      <c r="AY13" s="84">
        <f t="shared" si="2"/>
        <v>0</v>
      </c>
      <c r="AZ13" s="84">
        <f t="shared" si="2"/>
        <v>0</v>
      </c>
      <c r="BA13" s="84">
        <f t="shared" si="2"/>
        <v>0</v>
      </c>
      <c r="BB13" s="84">
        <f t="shared" si="2"/>
        <v>0</v>
      </c>
      <c r="BC13" s="84">
        <f t="shared" si="2"/>
        <v>0</v>
      </c>
      <c r="BD13" s="84">
        <f t="shared" si="2"/>
        <v>0</v>
      </c>
      <c r="BE13" s="84">
        <f t="shared" si="2"/>
        <v>0</v>
      </c>
      <c r="BF13" s="84">
        <f t="shared" si="2"/>
        <v>0</v>
      </c>
      <c r="BG13" s="84">
        <f t="shared" si="2"/>
        <v>0</v>
      </c>
      <c r="BH13" s="84">
        <f t="shared" si="2"/>
        <v>0</v>
      </c>
      <c r="BI13" s="84">
        <f t="shared" si="2"/>
        <v>0</v>
      </c>
      <c r="BJ13" s="84">
        <f t="shared" si="2"/>
        <v>0</v>
      </c>
      <c r="BK13" s="84">
        <f t="shared" si="2"/>
        <v>0</v>
      </c>
      <c r="BL13" s="84">
        <f t="shared" si="2"/>
        <v>0</v>
      </c>
      <c r="BM13" s="84">
        <f t="shared" si="2"/>
        <v>0</v>
      </c>
      <c r="BN13" s="84">
        <f t="shared" si="2"/>
        <v>0</v>
      </c>
      <c r="BO13" s="84">
        <f aca="true" t="shared" si="3" ref="BO13:DZ13">SUM(BO14+BO20+BO21)</f>
        <v>0</v>
      </c>
      <c r="BP13" s="84">
        <f t="shared" si="3"/>
        <v>0</v>
      </c>
      <c r="BQ13" s="84">
        <f t="shared" si="3"/>
        <v>0</v>
      </c>
      <c r="BR13" s="84">
        <f t="shared" si="3"/>
        <v>0</v>
      </c>
      <c r="BS13" s="84">
        <f t="shared" si="3"/>
        <v>0</v>
      </c>
      <c r="BT13" s="84">
        <f t="shared" si="3"/>
        <v>0</v>
      </c>
      <c r="BU13" s="84">
        <f t="shared" si="3"/>
        <v>0</v>
      </c>
      <c r="BV13" s="84">
        <f t="shared" si="3"/>
        <v>0</v>
      </c>
      <c r="BW13" s="84">
        <f t="shared" si="3"/>
        <v>0</v>
      </c>
      <c r="BX13" s="84">
        <f t="shared" si="3"/>
        <v>0</v>
      </c>
      <c r="BY13" s="84">
        <f t="shared" si="3"/>
        <v>0</v>
      </c>
      <c r="BZ13" s="84">
        <f t="shared" si="3"/>
        <v>0</v>
      </c>
      <c r="CA13" s="84">
        <f t="shared" si="3"/>
        <v>0</v>
      </c>
      <c r="CB13" s="84">
        <f t="shared" si="3"/>
        <v>0</v>
      </c>
      <c r="CC13" s="84">
        <f t="shared" si="3"/>
        <v>0</v>
      </c>
      <c r="CD13" s="84">
        <f t="shared" si="3"/>
        <v>0</v>
      </c>
      <c r="CE13" s="84">
        <f t="shared" si="3"/>
        <v>0</v>
      </c>
      <c r="CF13" s="84">
        <f t="shared" si="3"/>
        <v>0</v>
      </c>
      <c r="CG13" s="84">
        <f t="shared" si="3"/>
        <v>0</v>
      </c>
      <c r="CH13" s="84">
        <f t="shared" si="3"/>
        <v>0</v>
      </c>
      <c r="CI13" s="84">
        <f t="shared" si="3"/>
        <v>0</v>
      </c>
      <c r="CJ13" s="84">
        <f t="shared" si="3"/>
        <v>0</v>
      </c>
      <c r="CK13" s="84">
        <f t="shared" si="3"/>
        <v>0</v>
      </c>
      <c r="CL13" s="84">
        <f t="shared" si="3"/>
        <v>0</v>
      </c>
      <c r="CM13" s="84">
        <f t="shared" si="3"/>
        <v>0</v>
      </c>
      <c r="CN13" s="84">
        <f t="shared" si="3"/>
        <v>0</v>
      </c>
      <c r="CO13" s="84">
        <f t="shared" si="3"/>
        <v>0</v>
      </c>
      <c r="CP13" s="84">
        <f t="shared" si="3"/>
        <v>0</v>
      </c>
      <c r="CQ13" s="84">
        <f t="shared" si="3"/>
        <v>0</v>
      </c>
      <c r="CR13" s="84">
        <f t="shared" si="3"/>
        <v>0</v>
      </c>
      <c r="CS13" s="84">
        <f t="shared" si="3"/>
        <v>0</v>
      </c>
      <c r="CT13" s="84">
        <f t="shared" si="3"/>
        <v>0</v>
      </c>
      <c r="CU13" s="84">
        <f t="shared" si="3"/>
        <v>0</v>
      </c>
      <c r="CV13" s="84">
        <f t="shared" si="3"/>
        <v>0</v>
      </c>
      <c r="CW13" s="84">
        <f t="shared" si="3"/>
        <v>0</v>
      </c>
      <c r="CX13" s="84">
        <f t="shared" si="3"/>
        <v>0</v>
      </c>
      <c r="CY13" s="84">
        <f t="shared" si="3"/>
        <v>0</v>
      </c>
      <c r="CZ13" s="84">
        <f t="shared" si="3"/>
        <v>0</v>
      </c>
      <c r="DA13" s="84">
        <f t="shared" si="3"/>
        <v>0</v>
      </c>
      <c r="DB13" s="84">
        <f t="shared" si="3"/>
        <v>0</v>
      </c>
      <c r="DC13" s="84">
        <f t="shared" si="3"/>
        <v>0</v>
      </c>
      <c r="DD13" s="84">
        <f t="shared" si="3"/>
        <v>0</v>
      </c>
      <c r="DE13" s="84">
        <f t="shared" si="3"/>
        <v>0</v>
      </c>
      <c r="DF13" s="84">
        <f t="shared" si="3"/>
        <v>0</v>
      </c>
      <c r="DG13" s="84">
        <f t="shared" si="3"/>
        <v>0</v>
      </c>
      <c r="DH13" s="84">
        <f t="shared" si="3"/>
        <v>0</v>
      </c>
      <c r="DI13" s="84">
        <f t="shared" si="3"/>
        <v>0</v>
      </c>
      <c r="DJ13" s="84">
        <f t="shared" si="3"/>
        <v>0</v>
      </c>
      <c r="DK13" s="84">
        <f t="shared" si="3"/>
        <v>0</v>
      </c>
      <c r="DL13" s="84">
        <f t="shared" si="3"/>
        <v>0</v>
      </c>
      <c r="DM13" s="84">
        <f t="shared" si="3"/>
        <v>0</v>
      </c>
      <c r="DN13" s="84">
        <f t="shared" si="3"/>
        <v>0</v>
      </c>
      <c r="DO13" s="84">
        <f t="shared" si="3"/>
        <v>0</v>
      </c>
      <c r="DP13" s="84">
        <f t="shared" si="3"/>
        <v>0</v>
      </c>
      <c r="DQ13" s="84">
        <f t="shared" si="3"/>
        <v>0</v>
      </c>
      <c r="DR13" s="84">
        <f t="shared" si="3"/>
        <v>0</v>
      </c>
      <c r="DS13" s="84">
        <f t="shared" si="3"/>
        <v>0</v>
      </c>
      <c r="DT13" s="84">
        <f t="shared" si="3"/>
        <v>0</v>
      </c>
      <c r="DU13" s="84">
        <f t="shared" si="3"/>
        <v>0</v>
      </c>
      <c r="DV13" s="84">
        <f t="shared" si="3"/>
        <v>0</v>
      </c>
      <c r="DW13" s="84">
        <f t="shared" si="3"/>
        <v>0</v>
      </c>
      <c r="DX13" s="84">
        <f t="shared" si="3"/>
        <v>0</v>
      </c>
      <c r="DY13" s="84">
        <f t="shared" si="3"/>
        <v>0</v>
      </c>
      <c r="DZ13" s="84">
        <f t="shared" si="3"/>
        <v>0</v>
      </c>
      <c r="EA13" s="84">
        <f aca="true" t="shared" si="4" ref="EA13:GL13">SUM(EA14+EA20+EA21)</f>
        <v>0</v>
      </c>
      <c r="EB13" s="84">
        <f t="shared" si="4"/>
        <v>0</v>
      </c>
      <c r="EC13" s="84">
        <f t="shared" si="4"/>
        <v>0</v>
      </c>
      <c r="ED13" s="84">
        <f t="shared" si="4"/>
        <v>0</v>
      </c>
      <c r="EE13" s="84">
        <f t="shared" si="4"/>
        <v>0</v>
      </c>
      <c r="EF13" s="84">
        <f t="shared" si="4"/>
        <v>0</v>
      </c>
      <c r="EG13" s="84">
        <f t="shared" si="4"/>
        <v>0</v>
      </c>
      <c r="EH13" s="84">
        <f t="shared" si="4"/>
        <v>0</v>
      </c>
      <c r="EI13" s="84">
        <f t="shared" si="4"/>
        <v>0</v>
      </c>
      <c r="EJ13" s="84">
        <f t="shared" si="4"/>
        <v>0</v>
      </c>
      <c r="EK13" s="84">
        <f t="shared" si="4"/>
        <v>0</v>
      </c>
      <c r="EL13" s="84">
        <f t="shared" si="4"/>
        <v>0</v>
      </c>
      <c r="EM13" s="84">
        <f t="shared" si="4"/>
        <v>0</v>
      </c>
      <c r="EN13" s="84">
        <f t="shared" si="4"/>
        <v>0</v>
      </c>
      <c r="EO13" s="84">
        <f t="shared" si="4"/>
        <v>0</v>
      </c>
      <c r="EP13" s="84">
        <f t="shared" si="4"/>
        <v>0</v>
      </c>
      <c r="EQ13" s="84">
        <f t="shared" si="4"/>
        <v>0</v>
      </c>
      <c r="ER13" s="84">
        <f t="shared" si="4"/>
        <v>0</v>
      </c>
      <c r="ES13" s="84">
        <f t="shared" si="4"/>
        <v>0</v>
      </c>
      <c r="ET13" s="84">
        <f t="shared" si="4"/>
        <v>0</v>
      </c>
      <c r="EU13" s="84">
        <f t="shared" si="4"/>
        <v>0</v>
      </c>
      <c r="EV13" s="84">
        <f t="shared" si="4"/>
        <v>0</v>
      </c>
      <c r="EW13" s="84">
        <f t="shared" si="4"/>
        <v>0</v>
      </c>
      <c r="EX13" s="84">
        <f t="shared" si="4"/>
        <v>0</v>
      </c>
      <c r="EY13" s="84">
        <f t="shared" si="4"/>
        <v>0</v>
      </c>
      <c r="EZ13" s="84">
        <f t="shared" si="4"/>
        <v>0</v>
      </c>
      <c r="FA13" s="84">
        <f t="shared" si="4"/>
        <v>0</v>
      </c>
      <c r="FB13" s="84">
        <f t="shared" si="4"/>
        <v>0</v>
      </c>
      <c r="FC13" s="84">
        <f t="shared" si="4"/>
        <v>0</v>
      </c>
      <c r="FD13" s="84">
        <f t="shared" si="4"/>
        <v>0</v>
      </c>
      <c r="FE13" s="84">
        <f t="shared" si="4"/>
        <v>0</v>
      </c>
      <c r="FF13" s="84">
        <f t="shared" si="4"/>
        <v>0</v>
      </c>
      <c r="FG13" s="84">
        <f t="shared" si="4"/>
        <v>0</v>
      </c>
      <c r="FH13" s="84">
        <f t="shared" si="4"/>
        <v>0</v>
      </c>
      <c r="FI13" s="84">
        <f t="shared" si="4"/>
        <v>0</v>
      </c>
      <c r="FJ13" s="84">
        <f t="shared" si="4"/>
        <v>0</v>
      </c>
      <c r="FK13" s="84">
        <f t="shared" si="4"/>
        <v>0</v>
      </c>
      <c r="FL13" s="84">
        <f t="shared" si="4"/>
        <v>0</v>
      </c>
      <c r="FM13" s="84">
        <f t="shared" si="4"/>
        <v>0</v>
      </c>
      <c r="FN13" s="84">
        <f t="shared" si="4"/>
        <v>0</v>
      </c>
      <c r="FO13" s="84">
        <f t="shared" si="4"/>
        <v>0</v>
      </c>
      <c r="FP13" s="84">
        <f t="shared" si="4"/>
        <v>0</v>
      </c>
      <c r="FQ13" s="84">
        <f t="shared" si="4"/>
        <v>0</v>
      </c>
      <c r="FR13" s="84">
        <f t="shared" si="4"/>
        <v>0</v>
      </c>
      <c r="FS13" s="84">
        <f t="shared" si="4"/>
        <v>0</v>
      </c>
      <c r="FT13" s="84">
        <f t="shared" si="4"/>
        <v>0</v>
      </c>
      <c r="FU13" s="84">
        <f t="shared" si="4"/>
        <v>0</v>
      </c>
      <c r="FV13" s="84">
        <f t="shared" si="4"/>
        <v>0</v>
      </c>
      <c r="FW13" s="84">
        <f t="shared" si="4"/>
        <v>0</v>
      </c>
      <c r="FX13" s="84">
        <f t="shared" si="4"/>
        <v>0</v>
      </c>
      <c r="FY13" s="84">
        <f t="shared" si="4"/>
        <v>0</v>
      </c>
      <c r="FZ13" s="84">
        <f t="shared" si="4"/>
        <v>0</v>
      </c>
      <c r="GA13" s="84">
        <f t="shared" si="4"/>
        <v>0</v>
      </c>
      <c r="GB13" s="84">
        <f t="shared" si="4"/>
        <v>0</v>
      </c>
      <c r="GC13" s="84">
        <f t="shared" si="4"/>
        <v>0</v>
      </c>
      <c r="GD13" s="84">
        <f t="shared" si="4"/>
        <v>0</v>
      </c>
      <c r="GE13" s="84">
        <f t="shared" si="4"/>
        <v>0</v>
      </c>
      <c r="GF13" s="84">
        <f t="shared" si="4"/>
        <v>0</v>
      </c>
      <c r="GG13" s="84">
        <f t="shared" si="4"/>
        <v>0</v>
      </c>
      <c r="GH13" s="84">
        <f t="shared" si="4"/>
        <v>0</v>
      </c>
      <c r="GI13" s="84">
        <f t="shared" si="4"/>
        <v>0</v>
      </c>
      <c r="GJ13" s="84">
        <f t="shared" si="4"/>
        <v>0</v>
      </c>
      <c r="GK13" s="84">
        <f t="shared" si="4"/>
        <v>0</v>
      </c>
      <c r="GL13" s="84">
        <f t="shared" si="4"/>
        <v>0</v>
      </c>
      <c r="GM13" s="84">
        <f aca="true" t="shared" si="5" ref="GM13:IV13">SUM(GM14+GM20+GM21)</f>
        <v>0</v>
      </c>
      <c r="GN13" s="84">
        <f t="shared" si="5"/>
        <v>0</v>
      </c>
      <c r="GO13" s="84">
        <f t="shared" si="5"/>
        <v>0</v>
      </c>
      <c r="GP13" s="84">
        <f t="shared" si="5"/>
        <v>0</v>
      </c>
      <c r="GQ13" s="84">
        <f t="shared" si="5"/>
        <v>0</v>
      </c>
      <c r="GR13" s="84">
        <f t="shared" si="5"/>
        <v>0</v>
      </c>
      <c r="GS13" s="84">
        <f t="shared" si="5"/>
        <v>0</v>
      </c>
      <c r="GT13" s="84">
        <f t="shared" si="5"/>
        <v>0</v>
      </c>
      <c r="GU13" s="84">
        <f t="shared" si="5"/>
        <v>0</v>
      </c>
      <c r="GV13" s="84">
        <f t="shared" si="5"/>
        <v>0</v>
      </c>
      <c r="GW13" s="84">
        <f t="shared" si="5"/>
        <v>0</v>
      </c>
      <c r="GX13" s="84">
        <f t="shared" si="5"/>
        <v>0</v>
      </c>
      <c r="GY13" s="84">
        <f t="shared" si="5"/>
        <v>0</v>
      </c>
      <c r="GZ13" s="84">
        <f t="shared" si="5"/>
        <v>0</v>
      </c>
      <c r="HA13" s="84">
        <f t="shared" si="5"/>
        <v>0</v>
      </c>
      <c r="HB13" s="84">
        <f t="shared" si="5"/>
        <v>0</v>
      </c>
      <c r="HC13" s="84">
        <f t="shared" si="5"/>
        <v>0</v>
      </c>
      <c r="HD13" s="84">
        <f t="shared" si="5"/>
        <v>0</v>
      </c>
      <c r="HE13" s="84">
        <f t="shared" si="5"/>
        <v>0</v>
      </c>
      <c r="HF13" s="84">
        <f t="shared" si="5"/>
        <v>0</v>
      </c>
      <c r="HG13" s="84">
        <f t="shared" si="5"/>
        <v>0</v>
      </c>
      <c r="HH13" s="84">
        <f t="shared" si="5"/>
        <v>0</v>
      </c>
      <c r="HI13" s="84">
        <f t="shared" si="5"/>
        <v>0</v>
      </c>
      <c r="HJ13" s="84">
        <f t="shared" si="5"/>
        <v>0</v>
      </c>
      <c r="HK13" s="84">
        <f t="shared" si="5"/>
        <v>0</v>
      </c>
      <c r="HL13" s="84">
        <f t="shared" si="5"/>
        <v>0</v>
      </c>
      <c r="HM13" s="84">
        <f t="shared" si="5"/>
        <v>0</v>
      </c>
      <c r="HN13" s="84">
        <f t="shared" si="5"/>
        <v>0</v>
      </c>
      <c r="HO13" s="84">
        <f t="shared" si="5"/>
        <v>0</v>
      </c>
      <c r="HP13" s="84">
        <f t="shared" si="5"/>
        <v>0</v>
      </c>
      <c r="HQ13" s="84">
        <f t="shared" si="5"/>
        <v>0</v>
      </c>
      <c r="HR13" s="84">
        <f t="shared" si="5"/>
        <v>0</v>
      </c>
      <c r="HS13" s="84">
        <f t="shared" si="5"/>
        <v>0</v>
      </c>
      <c r="HT13" s="84">
        <f t="shared" si="5"/>
        <v>0</v>
      </c>
      <c r="HU13" s="84">
        <f t="shared" si="5"/>
        <v>0</v>
      </c>
      <c r="HV13" s="84">
        <f t="shared" si="5"/>
        <v>0</v>
      </c>
      <c r="HW13" s="84">
        <f t="shared" si="5"/>
        <v>0</v>
      </c>
      <c r="HX13" s="84">
        <f t="shared" si="5"/>
        <v>0</v>
      </c>
      <c r="HY13" s="84">
        <f t="shared" si="5"/>
        <v>0</v>
      </c>
      <c r="HZ13" s="84">
        <f t="shared" si="5"/>
        <v>0</v>
      </c>
      <c r="IA13" s="84">
        <f t="shared" si="5"/>
        <v>0</v>
      </c>
      <c r="IB13" s="84">
        <f t="shared" si="5"/>
        <v>0</v>
      </c>
      <c r="IC13" s="84">
        <f t="shared" si="5"/>
        <v>0</v>
      </c>
      <c r="ID13" s="84">
        <f t="shared" si="5"/>
        <v>0</v>
      </c>
      <c r="IE13" s="84">
        <f t="shared" si="5"/>
        <v>0</v>
      </c>
      <c r="IF13" s="84">
        <f t="shared" si="5"/>
        <v>0</v>
      </c>
      <c r="IG13" s="84">
        <f t="shared" si="5"/>
        <v>0</v>
      </c>
      <c r="IH13" s="84">
        <f t="shared" si="5"/>
        <v>0</v>
      </c>
      <c r="II13" s="84">
        <f t="shared" si="5"/>
        <v>0</v>
      </c>
      <c r="IJ13" s="84">
        <f t="shared" si="5"/>
        <v>0</v>
      </c>
      <c r="IK13" s="84">
        <f t="shared" si="5"/>
        <v>0</v>
      </c>
      <c r="IL13" s="84">
        <f t="shared" si="5"/>
        <v>0</v>
      </c>
      <c r="IM13" s="84">
        <f t="shared" si="5"/>
        <v>0</v>
      </c>
      <c r="IN13" s="84">
        <f t="shared" si="5"/>
        <v>0</v>
      </c>
      <c r="IO13" s="84">
        <f t="shared" si="5"/>
        <v>0</v>
      </c>
      <c r="IP13" s="84">
        <f t="shared" si="5"/>
        <v>0</v>
      </c>
      <c r="IQ13" s="84">
        <f t="shared" si="5"/>
        <v>0</v>
      </c>
      <c r="IR13" s="84">
        <f t="shared" si="5"/>
        <v>0</v>
      </c>
      <c r="IS13" s="84">
        <f t="shared" si="5"/>
        <v>0</v>
      </c>
      <c r="IT13" s="84">
        <f t="shared" si="5"/>
        <v>0</v>
      </c>
      <c r="IU13" s="123">
        <f t="shared" si="5"/>
        <v>0</v>
      </c>
      <c r="IV13" s="123">
        <f t="shared" si="5"/>
        <v>0</v>
      </c>
    </row>
    <row r="14" spans="1:256" ht="15">
      <c r="A14" s="66" t="s">
        <v>137</v>
      </c>
      <c r="B14" s="84">
        <f>SUM(B15:B19)</f>
        <v>2256721767.92</v>
      </c>
      <c r="C14" s="84">
        <f aca="true" t="shared" si="6" ref="C14:BN14">SUM(C15:C19)</f>
        <v>0</v>
      </c>
      <c r="D14" s="84">
        <f t="shared" si="6"/>
        <v>11737657.700000001</v>
      </c>
      <c r="E14" s="84">
        <f t="shared" si="6"/>
        <v>0</v>
      </c>
      <c r="F14" s="84">
        <f t="shared" si="6"/>
        <v>2244984110.22</v>
      </c>
      <c r="G14" s="84">
        <f t="shared" si="6"/>
        <v>36184948.58</v>
      </c>
      <c r="H14" s="84">
        <f t="shared" si="6"/>
        <v>0</v>
      </c>
      <c r="I14" s="84">
        <f t="shared" si="6"/>
        <v>0</v>
      </c>
      <c r="J14" s="84">
        <f t="shared" si="6"/>
        <v>0</v>
      </c>
      <c r="K14" s="84">
        <f t="shared" si="6"/>
        <v>0</v>
      </c>
      <c r="L14" s="84">
        <f t="shared" si="6"/>
        <v>0</v>
      </c>
      <c r="M14" s="84">
        <f t="shared" si="6"/>
        <v>0</v>
      </c>
      <c r="N14" s="84">
        <f t="shared" si="6"/>
        <v>0</v>
      </c>
      <c r="O14" s="84">
        <f t="shared" si="6"/>
        <v>0</v>
      </c>
      <c r="P14" s="84">
        <f t="shared" si="6"/>
        <v>0</v>
      </c>
      <c r="Q14" s="84">
        <f t="shared" si="6"/>
        <v>0</v>
      </c>
      <c r="R14" s="84">
        <f t="shared" si="6"/>
        <v>0</v>
      </c>
      <c r="S14" s="84">
        <f t="shared" si="6"/>
        <v>0</v>
      </c>
      <c r="T14" s="84">
        <f t="shared" si="6"/>
        <v>0</v>
      </c>
      <c r="U14" s="84">
        <f t="shared" si="6"/>
        <v>0</v>
      </c>
      <c r="V14" s="84">
        <f t="shared" si="6"/>
        <v>0</v>
      </c>
      <c r="W14" s="84">
        <f t="shared" si="6"/>
        <v>0</v>
      </c>
      <c r="X14" s="84">
        <f t="shared" si="6"/>
        <v>0</v>
      </c>
      <c r="Y14" s="84">
        <f t="shared" si="6"/>
        <v>0</v>
      </c>
      <c r="Z14" s="84">
        <f t="shared" si="6"/>
        <v>0</v>
      </c>
      <c r="AA14" s="84">
        <f t="shared" si="6"/>
        <v>0</v>
      </c>
      <c r="AB14" s="84">
        <f t="shared" si="6"/>
        <v>0</v>
      </c>
      <c r="AC14" s="84">
        <f t="shared" si="6"/>
        <v>0</v>
      </c>
      <c r="AD14" s="84">
        <f t="shared" si="6"/>
        <v>0</v>
      </c>
      <c r="AE14" s="84">
        <f t="shared" si="6"/>
        <v>0</v>
      </c>
      <c r="AF14" s="84">
        <f t="shared" si="6"/>
        <v>0</v>
      </c>
      <c r="AG14" s="84">
        <f t="shared" si="6"/>
        <v>0</v>
      </c>
      <c r="AH14" s="84">
        <f t="shared" si="6"/>
        <v>0</v>
      </c>
      <c r="AI14" s="84">
        <f t="shared" si="6"/>
        <v>0</v>
      </c>
      <c r="AJ14" s="84">
        <f t="shared" si="6"/>
        <v>0</v>
      </c>
      <c r="AK14" s="84">
        <f t="shared" si="6"/>
        <v>0</v>
      </c>
      <c r="AL14" s="84">
        <f t="shared" si="6"/>
        <v>0</v>
      </c>
      <c r="AM14" s="84">
        <f t="shared" si="6"/>
        <v>0</v>
      </c>
      <c r="AN14" s="84">
        <f t="shared" si="6"/>
        <v>0</v>
      </c>
      <c r="AO14" s="84">
        <f t="shared" si="6"/>
        <v>0</v>
      </c>
      <c r="AP14" s="84">
        <f t="shared" si="6"/>
        <v>0</v>
      </c>
      <c r="AQ14" s="84">
        <f t="shared" si="6"/>
        <v>0</v>
      </c>
      <c r="AR14" s="84">
        <f t="shared" si="6"/>
        <v>0</v>
      </c>
      <c r="AS14" s="84">
        <f t="shared" si="6"/>
        <v>0</v>
      </c>
      <c r="AT14" s="84">
        <f t="shared" si="6"/>
        <v>0</v>
      </c>
      <c r="AU14" s="84">
        <f t="shared" si="6"/>
        <v>0</v>
      </c>
      <c r="AV14" s="84">
        <f t="shared" si="6"/>
        <v>0</v>
      </c>
      <c r="AW14" s="84">
        <f t="shared" si="6"/>
        <v>0</v>
      </c>
      <c r="AX14" s="84">
        <f t="shared" si="6"/>
        <v>0</v>
      </c>
      <c r="AY14" s="84">
        <f t="shared" si="6"/>
        <v>0</v>
      </c>
      <c r="AZ14" s="84">
        <f t="shared" si="6"/>
        <v>0</v>
      </c>
      <c r="BA14" s="84">
        <f t="shared" si="6"/>
        <v>0</v>
      </c>
      <c r="BB14" s="84">
        <f t="shared" si="6"/>
        <v>0</v>
      </c>
      <c r="BC14" s="84">
        <f t="shared" si="6"/>
        <v>0</v>
      </c>
      <c r="BD14" s="84">
        <f t="shared" si="6"/>
        <v>0</v>
      </c>
      <c r="BE14" s="84">
        <f t="shared" si="6"/>
        <v>0</v>
      </c>
      <c r="BF14" s="84">
        <f t="shared" si="6"/>
        <v>0</v>
      </c>
      <c r="BG14" s="84">
        <f t="shared" si="6"/>
        <v>0</v>
      </c>
      <c r="BH14" s="84">
        <f t="shared" si="6"/>
        <v>0</v>
      </c>
      <c r="BI14" s="84">
        <f t="shared" si="6"/>
        <v>0</v>
      </c>
      <c r="BJ14" s="84">
        <f t="shared" si="6"/>
        <v>0</v>
      </c>
      <c r="BK14" s="84">
        <f t="shared" si="6"/>
        <v>0</v>
      </c>
      <c r="BL14" s="84">
        <f t="shared" si="6"/>
        <v>0</v>
      </c>
      <c r="BM14" s="84">
        <f t="shared" si="6"/>
        <v>0</v>
      </c>
      <c r="BN14" s="84">
        <f t="shared" si="6"/>
        <v>0</v>
      </c>
      <c r="BO14" s="84">
        <f aca="true" t="shared" si="7" ref="BO14:DZ14">SUM(BO15:BO19)</f>
        <v>0</v>
      </c>
      <c r="BP14" s="84">
        <f t="shared" si="7"/>
        <v>0</v>
      </c>
      <c r="BQ14" s="84">
        <f t="shared" si="7"/>
        <v>0</v>
      </c>
      <c r="BR14" s="84">
        <f t="shared" si="7"/>
        <v>0</v>
      </c>
      <c r="BS14" s="84">
        <f t="shared" si="7"/>
        <v>0</v>
      </c>
      <c r="BT14" s="84">
        <f t="shared" si="7"/>
        <v>0</v>
      </c>
      <c r="BU14" s="84">
        <f t="shared" si="7"/>
        <v>0</v>
      </c>
      <c r="BV14" s="84">
        <f t="shared" si="7"/>
        <v>0</v>
      </c>
      <c r="BW14" s="84">
        <f t="shared" si="7"/>
        <v>0</v>
      </c>
      <c r="BX14" s="84">
        <f t="shared" si="7"/>
        <v>0</v>
      </c>
      <c r="BY14" s="84">
        <f t="shared" si="7"/>
        <v>0</v>
      </c>
      <c r="BZ14" s="84">
        <f t="shared" si="7"/>
        <v>0</v>
      </c>
      <c r="CA14" s="84">
        <f t="shared" si="7"/>
        <v>0</v>
      </c>
      <c r="CB14" s="84">
        <f t="shared" si="7"/>
        <v>0</v>
      </c>
      <c r="CC14" s="84">
        <f t="shared" si="7"/>
        <v>0</v>
      </c>
      <c r="CD14" s="84">
        <f t="shared" si="7"/>
        <v>0</v>
      </c>
      <c r="CE14" s="84">
        <f t="shared" si="7"/>
        <v>0</v>
      </c>
      <c r="CF14" s="84">
        <f t="shared" si="7"/>
        <v>0</v>
      </c>
      <c r="CG14" s="84">
        <f t="shared" si="7"/>
        <v>0</v>
      </c>
      <c r="CH14" s="84">
        <f t="shared" si="7"/>
        <v>0</v>
      </c>
      <c r="CI14" s="84">
        <f t="shared" si="7"/>
        <v>0</v>
      </c>
      <c r="CJ14" s="84">
        <f t="shared" si="7"/>
        <v>0</v>
      </c>
      <c r="CK14" s="84">
        <f t="shared" si="7"/>
        <v>0</v>
      </c>
      <c r="CL14" s="84">
        <f t="shared" si="7"/>
        <v>0</v>
      </c>
      <c r="CM14" s="84">
        <f t="shared" si="7"/>
        <v>0</v>
      </c>
      <c r="CN14" s="84">
        <f t="shared" si="7"/>
        <v>0</v>
      </c>
      <c r="CO14" s="84">
        <f t="shared" si="7"/>
        <v>0</v>
      </c>
      <c r="CP14" s="84">
        <f t="shared" si="7"/>
        <v>0</v>
      </c>
      <c r="CQ14" s="84">
        <f t="shared" si="7"/>
        <v>0</v>
      </c>
      <c r="CR14" s="84">
        <f t="shared" si="7"/>
        <v>0</v>
      </c>
      <c r="CS14" s="84">
        <f t="shared" si="7"/>
        <v>0</v>
      </c>
      <c r="CT14" s="84">
        <f t="shared" si="7"/>
        <v>0</v>
      </c>
      <c r="CU14" s="84">
        <f t="shared" si="7"/>
        <v>0</v>
      </c>
      <c r="CV14" s="84">
        <f t="shared" si="7"/>
        <v>0</v>
      </c>
      <c r="CW14" s="84">
        <f t="shared" si="7"/>
        <v>0</v>
      </c>
      <c r="CX14" s="84">
        <f t="shared" si="7"/>
        <v>0</v>
      </c>
      <c r="CY14" s="84">
        <f t="shared" si="7"/>
        <v>0</v>
      </c>
      <c r="CZ14" s="84">
        <f t="shared" si="7"/>
        <v>0</v>
      </c>
      <c r="DA14" s="84">
        <f t="shared" si="7"/>
        <v>0</v>
      </c>
      <c r="DB14" s="84">
        <f t="shared" si="7"/>
        <v>0</v>
      </c>
      <c r="DC14" s="84">
        <f t="shared" si="7"/>
        <v>0</v>
      </c>
      <c r="DD14" s="84">
        <f t="shared" si="7"/>
        <v>0</v>
      </c>
      <c r="DE14" s="84">
        <f t="shared" si="7"/>
        <v>0</v>
      </c>
      <c r="DF14" s="84">
        <f t="shared" si="7"/>
        <v>0</v>
      </c>
      <c r="DG14" s="84">
        <f t="shared" si="7"/>
        <v>0</v>
      </c>
      <c r="DH14" s="84">
        <f t="shared" si="7"/>
        <v>0</v>
      </c>
      <c r="DI14" s="84">
        <f t="shared" si="7"/>
        <v>0</v>
      </c>
      <c r="DJ14" s="84">
        <f t="shared" si="7"/>
        <v>0</v>
      </c>
      <c r="DK14" s="84">
        <f t="shared" si="7"/>
        <v>0</v>
      </c>
      <c r="DL14" s="84">
        <f t="shared" si="7"/>
        <v>0</v>
      </c>
      <c r="DM14" s="84">
        <f t="shared" si="7"/>
        <v>0</v>
      </c>
      <c r="DN14" s="84">
        <f t="shared" si="7"/>
        <v>0</v>
      </c>
      <c r="DO14" s="84">
        <f t="shared" si="7"/>
        <v>0</v>
      </c>
      <c r="DP14" s="84">
        <f t="shared" si="7"/>
        <v>0</v>
      </c>
      <c r="DQ14" s="84">
        <f t="shared" si="7"/>
        <v>0</v>
      </c>
      <c r="DR14" s="84">
        <f t="shared" si="7"/>
        <v>0</v>
      </c>
      <c r="DS14" s="84">
        <f t="shared" si="7"/>
        <v>0</v>
      </c>
      <c r="DT14" s="84">
        <f t="shared" si="7"/>
        <v>0</v>
      </c>
      <c r="DU14" s="84">
        <f t="shared" si="7"/>
        <v>0</v>
      </c>
      <c r="DV14" s="84">
        <f t="shared" si="7"/>
        <v>0</v>
      </c>
      <c r="DW14" s="84">
        <f t="shared" si="7"/>
        <v>0</v>
      </c>
      <c r="DX14" s="84">
        <f t="shared" si="7"/>
        <v>0</v>
      </c>
      <c r="DY14" s="84">
        <f t="shared" si="7"/>
        <v>0</v>
      </c>
      <c r="DZ14" s="84">
        <f t="shared" si="7"/>
        <v>0</v>
      </c>
      <c r="EA14" s="84">
        <f aca="true" t="shared" si="8" ref="EA14:GL14">SUM(EA15:EA19)</f>
        <v>0</v>
      </c>
      <c r="EB14" s="84">
        <f t="shared" si="8"/>
        <v>0</v>
      </c>
      <c r="EC14" s="84">
        <f t="shared" si="8"/>
        <v>0</v>
      </c>
      <c r="ED14" s="84">
        <f t="shared" si="8"/>
        <v>0</v>
      </c>
      <c r="EE14" s="84">
        <f t="shared" si="8"/>
        <v>0</v>
      </c>
      <c r="EF14" s="84">
        <f t="shared" si="8"/>
        <v>0</v>
      </c>
      <c r="EG14" s="84">
        <f t="shared" si="8"/>
        <v>0</v>
      </c>
      <c r="EH14" s="84">
        <f t="shared" si="8"/>
        <v>0</v>
      </c>
      <c r="EI14" s="84">
        <f t="shared" si="8"/>
        <v>0</v>
      </c>
      <c r="EJ14" s="84">
        <f t="shared" si="8"/>
        <v>0</v>
      </c>
      <c r="EK14" s="84">
        <f t="shared" si="8"/>
        <v>0</v>
      </c>
      <c r="EL14" s="84">
        <f t="shared" si="8"/>
        <v>0</v>
      </c>
      <c r="EM14" s="84">
        <f t="shared" si="8"/>
        <v>0</v>
      </c>
      <c r="EN14" s="84">
        <f t="shared" si="8"/>
        <v>0</v>
      </c>
      <c r="EO14" s="84">
        <f t="shared" si="8"/>
        <v>0</v>
      </c>
      <c r="EP14" s="84">
        <f t="shared" si="8"/>
        <v>0</v>
      </c>
      <c r="EQ14" s="84">
        <f t="shared" si="8"/>
        <v>0</v>
      </c>
      <c r="ER14" s="84">
        <f t="shared" si="8"/>
        <v>0</v>
      </c>
      <c r="ES14" s="84">
        <f t="shared" si="8"/>
        <v>0</v>
      </c>
      <c r="ET14" s="84">
        <f t="shared" si="8"/>
        <v>0</v>
      </c>
      <c r="EU14" s="84">
        <f t="shared" si="8"/>
        <v>0</v>
      </c>
      <c r="EV14" s="84">
        <f t="shared" si="8"/>
        <v>0</v>
      </c>
      <c r="EW14" s="84">
        <f t="shared" si="8"/>
        <v>0</v>
      </c>
      <c r="EX14" s="84">
        <f t="shared" si="8"/>
        <v>0</v>
      </c>
      <c r="EY14" s="84">
        <f t="shared" si="8"/>
        <v>0</v>
      </c>
      <c r="EZ14" s="84">
        <f t="shared" si="8"/>
        <v>0</v>
      </c>
      <c r="FA14" s="84">
        <f t="shared" si="8"/>
        <v>0</v>
      </c>
      <c r="FB14" s="84">
        <f t="shared" si="8"/>
        <v>0</v>
      </c>
      <c r="FC14" s="84">
        <f t="shared" si="8"/>
        <v>0</v>
      </c>
      <c r="FD14" s="84">
        <f t="shared" si="8"/>
        <v>0</v>
      </c>
      <c r="FE14" s="84">
        <f t="shared" si="8"/>
        <v>0</v>
      </c>
      <c r="FF14" s="84">
        <f t="shared" si="8"/>
        <v>0</v>
      </c>
      <c r="FG14" s="84">
        <f t="shared" si="8"/>
        <v>0</v>
      </c>
      <c r="FH14" s="84">
        <f t="shared" si="8"/>
        <v>0</v>
      </c>
      <c r="FI14" s="84">
        <f t="shared" si="8"/>
        <v>0</v>
      </c>
      <c r="FJ14" s="84">
        <f t="shared" si="8"/>
        <v>0</v>
      </c>
      <c r="FK14" s="84">
        <f t="shared" si="8"/>
        <v>0</v>
      </c>
      <c r="FL14" s="84">
        <f t="shared" si="8"/>
        <v>0</v>
      </c>
      <c r="FM14" s="84">
        <f t="shared" si="8"/>
        <v>0</v>
      </c>
      <c r="FN14" s="84">
        <f t="shared" si="8"/>
        <v>0</v>
      </c>
      <c r="FO14" s="84">
        <f t="shared" si="8"/>
        <v>0</v>
      </c>
      <c r="FP14" s="84">
        <f t="shared" si="8"/>
        <v>0</v>
      </c>
      <c r="FQ14" s="84">
        <f t="shared" si="8"/>
        <v>0</v>
      </c>
      <c r="FR14" s="84">
        <f t="shared" si="8"/>
        <v>0</v>
      </c>
      <c r="FS14" s="84">
        <f t="shared" si="8"/>
        <v>0</v>
      </c>
      <c r="FT14" s="84">
        <f t="shared" si="8"/>
        <v>0</v>
      </c>
      <c r="FU14" s="84">
        <f t="shared" si="8"/>
        <v>0</v>
      </c>
      <c r="FV14" s="84">
        <f t="shared" si="8"/>
        <v>0</v>
      </c>
      <c r="FW14" s="84">
        <f t="shared" si="8"/>
        <v>0</v>
      </c>
      <c r="FX14" s="84">
        <f t="shared" si="8"/>
        <v>0</v>
      </c>
      <c r="FY14" s="84">
        <f t="shared" si="8"/>
        <v>0</v>
      </c>
      <c r="FZ14" s="84">
        <f t="shared" si="8"/>
        <v>0</v>
      </c>
      <c r="GA14" s="84">
        <f t="shared" si="8"/>
        <v>0</v>
      </c>
      <c r="GB14" s="84">
        <f t="shared" si="8"/>
        <v>0</v>
      </c>
      <c r="GC14" s="84">
        <f t="shared" si="8"/>
        <v>0</v>
      </c>
      <c r="GD14" s="84">
        <f t="shared" si="8"/>
        <v>0</v>
      </c>
      <c r="GE14" s="84">
        <f t="shared" si="8"/>
        <v>0</v>
      </c>
      <c r="GF14" s="84">
        <f t="shared" si="8"/>
        <v>0</v>
      </c>
      <c r="GG14" s="84">
        <f t="shared" si="8"/>
        <v>0</v>
      </c>
      <c r="GH14" s="84">
        <f t="shared" si="8"/>
        <v>0</v>
      </c>
      <c r="GI14" s="84">
        <f t="shared" si="8"/>
        <v>0</v>
      </c>
      <c r="GJ14" s="84">
        <f t="shared" si="8"/>
        <v>0</v>
      </c>
      <c r="GK14" s="84">
        <f t="shared" si="8"/>
        <v>0</v>
      </c>
      <c r="GL14" s="84">
        <f t="shared" si="8"/>
        <v>0</v>
      </c>
      <c r="GM14" s="84">
        <f aca="true" t="shared" si="9" ref="GM14:IV14">SUM(GM15:GM19)</f>
        <v>0</v>
      </c>
      <c r="GN14" s="84">
        <f t="shared" si="9"/>
        <v>0</v>
      </c>
      <c r="GO14" s="84">
        <f t="shared" si="9"/>
        <v>0</v>
      </c>
      <c r="GP14" s="84">
        <f t="shared" si="9"/>
        <v>0</v>
      </c>
      <c r="GQ14" s="84">
        <f t="shared" si="9"/>
        <v>0</v>
      </c>
      <c r="GR14" s="84">
        <f t="shared" si="9"/>
        <v>0</v>
      </c>
      <c r="GS14" s="84">
        <f t="shared" si="9"/>
        <v>0</v>
      </c>
      <c r="GT14" s="84">
        <f t="shared" si="9"/>
        <v>0</v>
      </c>
      <c r="GU14" s="84">
        <f t="shared" si="9"/>
        <v>0</v>
      </c>
      <c r="GV14" s="84">
        <f t="shared" si="9"/>
        <v>0</v>
      </c>
      <c r="GW14" s="84">
        <f t="shared" si="9"/>
        <v>0</v>
      </c>
      <c r="GX14" s="84">
        <f t="shared" si="9"/>
        <v>0</v>
      </c>
      <c r="GY14" s="84">
        <f t="shared" si="9"/>
        <v>0</v>
      </c>
      <c r="GZ14" s="84">
        <f t="shared" si="9"/>
        <v>0</v>
      </c>
      <c r="HA14" s="84">
        <f t="shared" si="9"/>
        <v>0</v>
      </c>
      <c r="HB14" s="84">
        <f t="shared" si="9"/>
        <v>0</v>
      </c>
      <c r="HC14" s="84">
        <f t="shared" si="9"/>
        <v>0</v>
      </c>
      <c r="HD14" s="84">
        <f t="shared" si="9"/>
        <v>0</v>
      </c>
      <c r="HE14" s="84">
        <f t="shared" si="9"/>
        <v>0</v>
      </c>
      <c r="HF14" s="84">
        <f t="shared" si="9"/>
        <v>0</v>
      </c>
      <c r="HG14" s="84">
        <f t="shared" si="9"/>
        <v>0</v>
      </c>
      <c r="HH14" s="84">
        <f t="shared" si="9"/>
        <v>0</v>
      </c>
      <c r="HI14" s="84">
        <f t="shared" si="9"/>
        <v>0</v>
      </c>
      <c r="HJ14" s="84">
        <f t="shared" si="9"/>
        <v>0</v>
      </c>
      <c r="HK14" s="84">
        <f t="shared" si="9"/>
        <v>0</v>
      </c>
      <c r="HL14" s="84">
        <f t="shared" si="9"/>
        <v>0</v>
      </c>
      <c r="HM14" s="84">
        <f t="shared" si="9"/>
        <v>0</v>
      </c>
      <c r="HN14" s="84">
        <f t="shared" si="9"/>
        <v>0</v>
      </c>
      <c r="HO14" s="84">
        <f t="shared" si="9"/>
        <v>0</v>
      </c>
      <c r="HP14" s="84">
        <f t="shared" si="9"/>
        <v>0</v>
      </c>
      <c r="HQ14" s="84">
        <f t="shared" si="9"/>
        <v>0</v>
      </c>
      <c r="HR14" s="84">
        <f t="shared" si="9"/>
        <v>0</v>
      </c>
      <c r="HS14" s="84">
        <f t="shared" si="9"/>
        <v>0</v>
      </c>
      <c r="HT14" s="84">
        <f t="shared" si="9"/>
        <v>0</v>
      </c>
      <c r="HU14" s="84">
        <f t="shared" si="9"/>
        <v>0</v>
      </c>
      <c r="HV14" s="84">
        <f t="shared" si="9"/>
        <v>0</v>
      </c>
      <c r="HW14" s="84">
        <f t="shared" si="9"/>
        <v>0</v>
      </c>
      <c r="HX14" s="84">
        <f t="shared" si="9"/>
        <v>0</v>
      </c>
      <c r="HY14" s="84">
        <f t="shared" si="9"/>
        <v>0</v>
      </c>
      <c r="HZ14" s="84">
        <f t="shared" si="9"/>
        <v>0</v>
      </c>
      <c r="IA14" s="84">
        <f t="shared" si="9"/>
        <v>0</v>
      </c>
      <c r="IB14" s="84">
        <f t="shared" si="9"/>
        <v>0</v>
      </c>
      <c r="IC14" s="84">
        <f t="shared" si="9"/>
        <v>0</v>
      </c>
      <c r="ID14" s="84">
        <f t="shared" si="9"/>
        <v>0</v>
      </c>
      <c r="IE14" s="84">
        <f t="shared" si="9"/>
        <v>0</v>
      </c>
      <c r="IF14" s="84">
        <f t="shared" si="9"/>
        <v>0</v>
      </c>
      <c r="IG14" s="84">
        <f t="shared" si="9"/>
        <v>0</v>
      </c>
      <c r="IH14" s="84">
        <f t="shared" si="9"/>
        <v>0</v>
      </c>
      <c r="II14" s="84">
        <f t="shared" si="9"/>
        <v>0</v>
      </c>
      <c r="IJ14" s="84">
        <f t="shared" si="9"/>
        <v>0</v>
      </c>
      <c r="IK14" s="84">
        <f t="shared" si="9"/>
        <v>0</v>
      </c>
      <c r="IL14" s="84">
        <f t="shared" si="9"/>
        <v>0</v>
      </c>
      <c r="IM14" s="84">
        <f t="shared" si="9"/>
        <v>0</v>
      </c>
      <c r="IN14" s="84">
        <f t="shared" si="9"/>
        <v>0</v>
      </c>
      <c r="IO14" s="84">
        <f t="shared" si="9"/>
        <v>0</v>
      </c>
      <c r="IP14" s="84">
        <f t="shared" si="9"/>
        <v>0</v>
      </c>
      <c r="IQ14" s="84">
        <f t="shared" si="9"/>
        <v>0</v>
      </c>
      <c r="IR14" s="84">
        <f t="shared" si="9"/>
        <v>0</v>
      </c>
      <c r="IS14" s="84">
        <f t="shared" si="9"/>
        <v>0</v>
      </c>
      <c r="IT14" s="84">
        <f t="shared" si="9"/>
        <v>0</v>
      </c>
      <c r="IU14" s="123">
        <f t="shared" si="9"/>
        <v>0</v>
      </c>
      <c r="IV14" s="123">
        <f t="shared" si="9"/>
        <v>0</v>
      </c>
    </row>
    <row r="15" spans="1:8" ht="15">
      <c r="A15" s="117" t="s">
        <v>458</v>
      </c>
      <c r="B15" s="84">
        <v>466450188.31</v>
      </c>
      <c r="C15" s="84">
        <v>0</v>
      </c>
      <c r="D15" s="84">
        <v>3843994.3800000004</v>
      </c>
      <c r="E15" s="84">
        <v>0</v>
      </c>
      <c r="F15" s="84">
        <f>+B15+C15-D15+E15</f>
        <v>462606193.93</v>
      </c>
      <c r="G15" s="84">
        <v>7488046.5600000005</v>
      </c>
      <c r="H15" s="84">
        <v>0</v>
      </c>
    </row>
    <row r="16" spans="1:8" ht="15">
      <c r="A16" s="117" t="s">
        <v>458</v>
      </c>
      <c r="B16" s="84">
        <v>153250396.23</v>
      </c>
      <c r="C16" s="84">
        <v>0</v>
      </c>
      <c r="D16" s="84">
        <v>1180185.98</v>
      </c>
      <c r="E16" s="84">
        <v>0</v>
      </c>
      <c r="F16" s="84">
        <f>+B16+C16-D16+E16</f>
        <v>152070210.25</v>
      </c>
      <c r="G16" s="84">
        <v>2468246.52</v>
      </c>
      <c r="H16" s="84">
        <v>0</v>
      </c>
    </row>
    <row r="17" spans="1:8" ht="15">
      <c r="A17" s="117" t="s">
        <v>458</v>
      </c>
      <c r="B17" s="84">
        <v>95889270.08</v>
      </c>
      <c r="C17" s="84">
        <v>0</v>
      </c>
      <c r="D17" s="84">
        <v>738446.19</v>
      </c>
      <c r="E17" s="84">
        <v>0</v>
      </c>
      <c r="F17" s="84">
        <f>+B17+C17-D17+E17</f>
        <v>95150823.89</v>
      </c>
      <c r="G17" s="84">
        <v>1544388.11</v>
      </c>
      <c r="H17" s="84">
        <v>0</v>
      </c>
    </row>
    <row r="18" spans="1:8" ht="15">
      <c r="A18" s="117" t="s">
        <v>459</v>
      </c>
      <c r="B18" s="84">
        <v>766535665.74</v>
      </c>
      <c r="C18" s="84">
        <v>0</v>
      </c>
      <c r="D18" s="84">
        <v>3056624.46</v>
      </c>
      <c r="E18" s="84">
        <v>0</v>
      </c>
      <c r="F18" s="84">
        <f>+B18+C18-D18+E18</f>
        <v>763479041.28</v>
      </c>
      <c r="G18" s="84">
        <v>12494911.580000002</v>
      </c>
      <c r="H18" s="84">
        <v>0</v>
      </c>
    </row>
    <row r="19" spans="1:8" ht="15">
      <c r="A19" s="117" t="s">
        <v>460</v>
      </c>
      <c r="B19" s="84">
        <v>774596247.56</v>
      </c>
      <c r="C19" s="84">
        <v>0</v>
      </c>
      <c r="D19" s="84">
        <v>2918406.69</v>
      </c>
      <c r="E19" s="84">
        <v>0</v>
      </c>
      <c r="F19" s="84">
        <f>+B19+C19-D19+E19</f>
        <v>771677840.8699999</v>
      </c>
      <c r="G19" s="84">
        <v>12189355.809999999</v>
      </c>
      <c r="H19" s="84">
        <v>0</v>
      </c>
    </row>
    <row r="20" spans="1:8" ht="15">
      <c r="A20" s="66" t="s">
        <v>138</v>
      </c>
      <c r="B20" s="84">
        <v>0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84">
        <v>0</v>
      </c>
    </row>
    <row r="21" spans="1:8" ht="15">
      <c r="A21" s="66" t="s">
        <v>139</v>
      </c>
      <c r="B21" s="84">
        <v>0</v>
      </c>
      <c r="C21" s="84">
        <v>0</v>
      </c>
      <c r="D21" s="84">
        <v>0</v>
      </c>
      <c r="E21" s="84">
        <v>0</v>
      </c>
      <c r="F21" s="84">
        <v>0</v>
      </c>
      <c r="G21" s="84">
        <v>0</v>
      </c>
      <c r="H21" s="84">
        <v>0</v>
      </c>
    </row>
    <row r="22" spans="1:8" ht="15">
      <c r="A22" s="34"/>
      <c r="B22" s="92"/>
      <c r="C22" s="92"/>
      <c r="D22" s="92"/>
      <c r="E22" s="92"/>
      <c r="F22" s="92"/>
      <c r="G22" s="92"/>
      <c r="H22" s="92"/>
    </row>
    <row r="23" spans="1:8" ht="15">
      <c r="A23" s="7" t="s">
        <v>140</v>
      </c>
      <c r="B23" s="93">
        <v>214960373.3699999</v>
      </c>
      <c r="C23" s="97"/>
      <c r="D23" s="97"/>
      <c r="E23" s="97"/>
      <c r="F23" s="93">
        <v>261265838.98</v>
      </c>
      <c r="G23" s="97"/>
      <c r="H23" s="97"/>
    </row>
    <row r="24" spans="1:8" ht="15">
      <c r="A24" s="34"/>
      <c r="B24" s="92"/>
      <c r="C24" s="92"/>
      <c r="D24" s="92"/>
      <c r="E24" s="92"/>
      <c r="F24" s="92"/>
      <c r="G24" s="92"/>
      <c r="H24" s="92"/>
    </row>
    <row r="25" spans="1:8" ht="15">
      <c r="A25" s="64" t="s">
        <v>141</v>
      </c>
      <c r="B25" s="86">
        <f>B8+B23</f>
        <v>2471682141.29</v>
      </c>
      <c r="C25" s="86">
        <f aca="true" t="shared" si="10" ref="C25:H25">C8+C23</f>
        <v>0</v>
      </c>
      <c r="D25" s="86">
        <f t="shared" si="10"/>
        <v>11737657.700000001</v>
      </c>
      <c r="E25" s="86">
        <f t="shared" si="10"/>
        <v>0</v>
      </c>
      <c r="F25" s="86">
        <f t="shared" si="10"/>
        <v>2506249949.2</v>
      </c>
      <c r="G25" s="86">
        <f t="shared" si="10"/>
        <v>36184948.58</v>
      </c>
      <c r="H25" s="86">
        <f t="shared" si="10"/>
        <v>0</v>
      </c>
    </row>
    <row r="26" spans="1:8" ht="15">
      <c r="A26" s="34"/>
      <c r="B26" s="85"/>
      <c r="C26" s="85"/>
      <c r="D26" s="85"/>
      <c r="E26" s="85"/>
      <c r="F26" s="85"/>
      <c r="G26" s="85"/>
      <c r="H26" s="85"/>
    </row>
    <row r="27" spans="1:8" ht="17.25">
      <c r="A27" s="64" t="s">
        <v>142</v>
      </c>
      <c r="B27" s="86">
        <f>SUM(B28:DEUDA_CONT_FIN_01)</f>
        <v>0</v>
      </c>
      <c r="C27" s="86">
        <f>SUM(C28:DEUDA_CONT_FIN_02)</f>
        <v>0</v>
      </c>
      <c r="D27" s="86">
        <f>SUM(D28:DEUDA_CONT_FIN_03)</f>
        <v>0</v>
      </c>
      <c r="E27" s="86">
        <f>SUM(E28:DEUDA_CONT_FIN_04)</f>
        <v>0</v>
      </c>
      <c r="F27" s="86">
        <f>SUM(F28:DEUDA_CONT_FIN_05)</f>
        <v>0</v>
      </c>
      <c r="G27" s="86">
        <f>SUM(G28:DEUDA_CONT_FIN_06)</f>
        <v>0</v>
      </c>
      <c r="H27" s="86">
        <f>SUM(H28:DEUDA_CONT_FIN_07)</f>
        <v>0</v>
      </c>
    </row>
    <row r="28" spans="1:8" ht="15">
      <c r="A28" s="67" t="s">
        <v>143</v>
      </c>
      <c r="B28" s="84">
        <v>0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</row>
    <row r="29" spans="1:8" ht="15">
      <c r="A29" s="67" t="s">
        <v>144</v>
      </c>
      <c r="B29" s="84">
        <v>0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84">
        <v>0</v>
      </c>
    </row>
    <row r="30" spans="1:8" ht="15">
      <c r="A30" s="67" t="s">
        <v>145</v>
      </c>
      <c r="B30" s="84">
        <v>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</row>
    <row r="31" spans="1:8" ht="15">
      <c r="A31" s="40" t="s">
        <v>146</v>
      </c>
      <c r="B31" s="85"/>
      <c r="C31" s="85"/>
      <c r="D31" s="85"/>
      <c r="E31" s="85"/>
      <c r="F31" s="85"/>
      <c r="G31" s="85"/>
      <c r="H31" s="85"/>
    </row>
    <row r="32" spans="1:8" ht="17.25">
      <c r="A32" s="64" t="s">
        <v>147</v>
      </c>
      <c r="B32" s="86">
        <f>SUM(B33:VALOR_INS_BCC_FIN_01)</f>
        <v>476222500</v>
      </c>
      <c r="C32" s="86">
        <f>SUM(C33:VALOR_INS_BCC_FIN_02)</f>
        <v>0</v>
      </c>
      <c r="D32" s="86">
        <f>SUM(D33:VALOR_INS_BCC_FIN_03)</f>
        <v>0</v>
      </c>
      <c r="E32" s="86">
        <f>SUM(E33:VALOR_INS_BCC_FIN_04)</f>
        <v>0</v>
      </c>
      <c r="F32" s="86">
        <f>SUM(F33:VALOR_INS_BCC_FIN_05)</f>
        <v>476222500</v>
      </c>
      <c r="G32" s="86">
        <f>SUM(G33:VALOR_INS_BCC_FIN_06)</f>
        <v>9751698.81</v>
      </c>
      <c r="H32" s="86">
        <f>SUM(H33:zfds)</f>
        <v>0</v>
      </c>
    </row>
    <row r="33" spans="1:8" ht="17.25">
      <c r="A33" s="67" t="s">
        <v>452</v>
      </c>
      <c r="B33" s="84">
        <v>83449015</v>
      </c>
      <c r="C33" s="84">
        <v>0</v>
      </c>
      <c r="D33" s="84">
        <v>0</v>
      </c>
      <c r="E33" s="84">
        <v>0</v>
      </c>
      <c r="F33" s="84">
        <v>83449015</v>
      </c>
      <c r="G33" s="84">
        <v>1790885.4</v>
      </c>
      <c r="H33" s="84">
        <v>0</v>
      </c>
    </row>
    <row r="34" spans="1:8" ht="17.25">
      <c r="A34" s="67" t="s">
        <v>453</v>
      </c>
      <c r="B34" s="84">
        <v>208708907</v>
      </c>
      <c r="C34" s="84">
        <v>0</v>
      </c>
      <c r="D34" s="84">
        <v>0</v>
      </c>
      <c r="E34" s="84">
        <v>0</v>
      </c>
      <c r="F34" s="84">
        <v>208708907</v>
      </c>
      <c r="G34" s="84">
        <v>4171639.73</v>
      </c>
      <c r="H34" s="84">
        <v>0</v>
      </c>
    </row>
    <row r="35" spans="1:8" ht="17.25">
      <c r="A35" s="67" t="s">
        <v>454</v>
      </c>
      <c r="B35" s="84">
        <v>72675017</v>
      </c>
      <c r="C35" s="84">
        <v>0</v>
      </c>
      <c r="D35" s="84">
        <v>0</v>
      </c>
      <c r="E35" s="84">
        <v>0</v>
      </c>
      <c r="F35" s="84">
        <v>72675017</v>
      </c>
      <c r="G35" s="84">
        <v>1531074.28</v>
      </c>
      <c r="H35" s="84">
        <v>0</v>
      </c>
    </row>
    <row r="36" spans="1:8" ht="17.25">
      <c r="A36" s="67" t="s">
        <v>455</v>
      </c>
      <c r="B36" s="84">
        <v>6854706</v>
      </c>
      <c r="C36" s="84">
        <v>0</v>
      </c>
      <c r="D36" s="84">
        <v>0</v>
      </c>
      <c r="E36" s="84">
        <v>0</v>
      </c>
      <c r="F36" s="84">
        <v>6854706</v>
      </c>
      <c r="G36" s="84">
        <v>147188.04</v>
      </c>
      <c r="H36" s="84">
        <v>0</v>
      </c>
    </row>
    <row r="37" spans="1:8" ht="17.25">
      <c r="A37" s="67" t="s">
        <v>456</v>
      </c>
      <c r="B37" s="84">
        <v>104534855</v>
      </c>
      <c r="C37" s="84">
        <v>0</v>
      </c>
      <c r="D37" s="84">
        <v>0</v>
      </c>
      <c r="E37" s="84"/>
      <c r="F37" s="84">
        <v>104534855</v>
      </c>
      <c r="G37" s="84">
        <v>2110911.36</v>
      </c>
      <c r="H37" s="84">
        <v>0</v>
      </c>
    </row>
    <row r="38" spans="1:8" ht="15">
      <c r="A38" s="68" t="s">
        <v>146</v>
      </c>
      <c r="B38" s="94"/>
      <c r="C38" s="42"/>
      <c r="D38" s="42"/>
      <c r="E38" s="42"/>
      <c r="F38" s="42"/>
      <c r="G38" s="42"/>
      <c r="H38" s="42"/>
    </row>
    <row r="39" spans="1:8" ht="15">
      <c r="A39" s="69"/>
      <c r="B39" s="95"/>
      <c r="C39" s="38"/>
      <c r="D39" s="38"/>
      <c r="E39" s="38"/>
      <c r="F39" s="38"/>
      <c r="G39" s="38"/>
      <c r="H39" s="38"/>
    </row>
    <row r="40" spans="1:8" ht="15">
      <c r="A40" s="147" t="s">
        <v>457</v>
      </c>
      <c r="B40" s="148"/>
      <c r="C40" s="148"/>
      <c r="D40" s="148"/>
      <c r="E40" s="148"/>
      <c r="F40" s="148"/>
      <c r="G40" s="148"/>
      <c r="H40" s="148"/>
    </row>
    <row r="41" spans="1:8" ht="15">
      <c r="A41" s="148"/>
      <c r="B41" s="148"/>
      <c r="C41" s="148"/>
      <c r="D41" s="148"/>
      <c r="E41" s="148"/>
      <c r="F41" s="148"/>
      <c r="G41" s="148"/>
      <c r="H41" s="148"/>
    </row>
    <row r="42" spans="1:8" ht="15">
      <c r="A42" s="148"/>
      <c r="B42" s="148"/>
      <c r="C42" s="148"/>
      <c r="D42" s="148"/>
      <c r="E42" s="148"/>
      <c r="F42" s="148"/>
      <c r="G42" s="148"/>
      <c r="H42" s="148"/>
    </row>
    <row r="43" spans="1:8" ht="15">
      <c r="A43" s="148"/>
      <c r="B43" s="148"/>
      <c r="C43" s="148"/>
      <c r="D43" s="148"/>
      <c r="E43" s="148"/>
      <c r="F43" s="148"/>
      <c r="G43" s="148"/>
      <c r="H43" s="148"/>
    </row>
    <row r="44" spans="1:8" ht="15">
      <c r="A44" s="148"/>
      <c r="B44" s="148"/>
      <c r="C44" s="148"/>
      <c r="D44" s="148"/>
      <c r="E44" s="148"/>
      <c r="F44" s="148"/>
      <c r="G44" s="148"/>
      <c r="H44" s="148"/>
    </row>
    <row r="45" spans="1:8" ht="15">
      <c r="A45" s="69"/>
      <c r="B45" s="95"/>
      <c r="C45" s="38"/>
      <c r="D45" s="38"/>
      <c r="E45" s="38"/>
      <c r="F45" s="38"/>
      <c r="G45" s="38"/>
      <c r="H45" s="38"/>
    </row>
    <row r="46" spans="1:8" ht="30">
      <c r="A46" s="5" t="s">
        <v>148</v>
      </c>
      <c r="B46" s="96" t="s">
        <v>149</v>
      </c>
      <c r="C46" s="5" t="s">
        <v>150</v>
      </c>
      <c r="D46" s="5" t="s">
        <v>151</v>
      </c>
      <c r="E46" s="5" t="s">
        <v>152</v>
      </c>
      <c r="F46" s="6" t="s">
        <v>153</v>
      </c>
      <c r="G46" s="38"/>
      <c r="H46" s="38"/>
    </row>
    <row r="47" spans="1:8" ht="15">
      <c r="A47" s="34"/>
      <c r="B47" s="91"/>
      <c r="C47" s="58"/>
      <c r="D47" s="58"/>
      <c r="E47" s="58"/>
      <c r="F47" s="58"/>
      <c r="G47" s="38"/>
      <c r="H47" s="38"/>
    </row>
    <row r="48" spans="1:8" ht="15">
      <c r="A48" s="64" t="s">
        <v>154</v>
      </c>
      <c r="B48" s="86">
        <f>SUM(B49:OB_CORTO_PLAZO_FIN_01)</f>
        <v>0</v>
      </c>
      <c r="C48" s="86">
        <f>SUM(C49:fgsgfdfdfzxvzcvczv)</f>
        <v>0</v>
      </c>
      <c r="D48" s="86">
        <f>SUM(D49:OB_CORTO_PLAZO_FIN_03)</f>
        <v>0</v>
      </c>
      <c r="E48" s="86">
        <f>SUM(E49:gfhdhdgh)</f>
        <v>0</v>
      </c>
      <c r="F48" s="86">
        <f>SUM(F49:OB_CORTO_PLAZO_FIN_05)</f>
        <v>0</v>
      </c>
      <c r="G48" s="38"/>
      <c r="H48" s="38"/>
    </row>
    <row r="49" spans="1:8" ht="15">
      <c r="A49" s="67" t="s">
        <v>155</v>
      </c>
      <c r="B49" s="84">
        <v>0</v>
      </c>
      <c r="C49" s="84">
        <v>0</v>
      </c>
      <c r="D49" s="84">
        <v>0</v>
      </c>
      <c r="E49" s="84">
        <v>0</v>
      </c>
      <c r="F49" s="84">
        <v>0</v>
      </c>
      <c r="G49" s="70"/>
      <c r="H49" s="70"/>
    </row>
    <row r="50" spans="1:8" ht="15">
      <c r="A50" s="67" t="s">
        <v>156</v>
      </c>
      <c r="B50" s="84">
        <v>0</v>
      </c>
      <c r="C50" s="84">
        <v>0</v>
      </c>
      <c r="D50" s="84">
        <v>0</v>
      </c>
      <c r="E50" s="84">
        <v>0</v>
      </c>
      <c r="F50" s="84">
        <v>0</v>
      </c>
      <c r="G50" s="70"/>
      <c r="H50" s="70"/>
    </row>
    <row r="51" spans="1:8" ht="15">
      <c r="A51" s="67" t="s">
        <v>157</v>
      </c>
      <c r="B51" s="84">
        <v>0</v>
      </c>
      <c r="C51" s="84">
        <v>0</v>
      </c>
      <c r="D51" s="84">
        <v>0</v>
      </c>
      <c r="E51" s="84">
        <v>0</v>
      </c>
      <c r="F51" s="84">
        <v>0</v>
      </c>
      <c r="G51" s="70"/>
      <c r="H51" s="70"/>
    </row>
    <row r="52" spans="1:8" ht="15">
      <c r="A52" s="71" t="s">
        <v>146</v>
      </c>
      <c r="B52" s="94"/>
      <c r="C52" s="42"/>
      <c r="D52" s="42"/>
      <c r="E52" s="42"/>
      <c r="F52" s="42"/>
      <c r="G52" s="38"/>
      <c r="H52" s="38"/>
    </row>
    <row r="53" spans="1:8" ht="15">
      <c r="A53" s="38"/>
      <c r="B53" s="95"/>
      <c r="C53" s="38"/>
      <c r="D53" s="38"/>
      <c r="E53" s="38"/>
      <c r="F53" s="38"/>
      <c r="G53" s="38"/>
      <c r="H53" s="38"/>
    </row>
    <row r="54" ht="15"/>
  </sheetData>
  <sheetProtection/>
  <mergeCells count="7">
    <mergeCell ref="A40:H44"/>
    <mergeCell ref="A1:F1"/>
    <mergeCell ref="G1:H1"/>
    <mergeCell ref="A2:H2"/>
    <mergeCell ref="A3:H3"/>
    <mergeCell ref="A4:H4"/>
    <mergeCell ref="A5:H5"/>
  </mergeCells>
  <dataValidations count="2">
    <dataValidation type="decimal" allowBlank="1" showInputMessage="1" showErrorMessage="1" sqref="B8:B37 C8:H12 C13:IV14 C15:H37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Saldo al 31 de diciembre de 20XN-1 (d)" sqref="B6"/>
  </dataValidations>
  <printOptions/>
  <pageMargins left="0.7086614173228347" right="0.31496062992125984" top="0.7480314960629921" bottom="0.7480314960629921" header="0.31496062992125984" footer="0.31496062992125984"/>
  <pageSetup fitToHeight="1" fitToWidth="1" horizontalDpi="600" verticalDpi="600" orientation="portrait" scale="47" r:id="rId1"/>
  <ignoredErrors>
    <ignoredError sqref="B8:H8 B9:H9 B25:H25 B27:H27 B32:H32 F15:F19 B13:G13 H13" unlockedFormula="1"/>
    <ignoredError sqref="B14:H14" formulaRange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D8" sqref="D8"/>
    </sheetView>
  </sheetViews>
  <sheetFormatPr defaultColWidth="0.85546875" defaultRowHeight="15" customHeight="1" zeroHeight="1"/>
  <cols>
    <col min="1" max="1" width="76.28125" style="0" customWidth="1"/>
    <col min="2" max="4" width="20.7109375" style="0" customWidth="1"/>
    <col min="5" max="5" width="20.7109375" style="38" customWidth="1"/>
    <col min="6" max="6" width="20.7109375" style="0" customWidth="1"/>
    <col min="7" max="11" width="25.7109375" style="0" customWidth="1"/>
    <col min="12" max="255" width="10.7109375" style="0" hidden="1" customWidth="1"/>
  </cols>
  <sheetData>
    <row r="1" spans="1:12" s="12" customFormat="1" ht="37.5" customHeight="1">
      <c r="A1" s="150" t="s">
        <v>158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1"/>
    </row>
    <row r="2" spans="1:11" ht="15">
      <c r="A2" s="135" t="s">
        <v>291</v>
      </c>
      <c r="B2" s="136"/>
      <c r="C2" s="136"/>
      <c r="D2" s="136"/>
      <c r="E2" s="136"/>
      <c r="F2" s="136"/>
      <c r="G2" s="136"/>
      <c r="H2" s="136"/>
      <c r="I2" s="136"/>
      <c r="J2" s="136"/>
      <c r="K2" s="137"/>
    </row>
    <row r="3" spans="1:11" ht="15">
      <c r="A3" s="138" t="s">
        <v>159</v>
      </c>
      <c r="B3" s="139"/>
      <c r="C3" s="139"/>
      <c r="D3" s="139"/>
      <c r="E3" s="139"/>
      <c r="F3" s="139"/>
      <c r="G3" s="139"/>
      <c r="H3" s="139"/>
      <c r="I3" s="139"/>
      <c r="J3" s="139"/>
      <c r="K3" s="140"/>
    </row>
    <row r="4" spans="1:11" ht="15">
      <c r="A4" s="141" t="s">
        <v>466</v>
      </c>
      <c r="B4" s="142"/>
      <c r="C4" s="142"/>
      <c r="D4" s="142"/>
      <c r="E4" s="142"/>
      <c r="F4" s="142"/>
      <c r="G4" s="142"/>
      <c r="H4" s="142"/>
      <c r="I4" s="142"/>
      <c r="J4" s="142"/>
      <c r="K4" s="143"/>
    </row>
    <row r="5" spans="1:11" ht="15">
      <c r="A5" s="138" t="s">
        <v>2</v>
      </c>
      <c r="B5" s="139"/>
      <c r="C5" s="139"/>
      <c r="D5" s="139"/>
      <c r="E5" s="139"/>
      <c r="F5" s="139"/>
      <c r="G5" s="139"/>
      <c r="H5" s="139"/>
      <c r="I5" s="139"/>
      <c r="J5" s="139"/>
      <c r="K5" s="140"/>
    </row>
    <row r="6" spans="1:11" ht="75">
      <c r="A6" s="6" t="s">
        <v>160</v>
      </c>
      <c r="B6" s="6" t="s">
        <v>161</v>
      </c>
      <c r="C6" s="6" t="s">
        <v>162</v>
      </c>
      <c r="D6" s="6" t="s">
        <v>163</v>
      </c>
      <c r="E6" s="6" t="s">
        <v>164</v>
      </c>
      <c r="F6" s="6" t="s">
        <v>165</v>
      </c>
      <c r="G6" s="6" t="s">
        <v>166</v>
      </c>
      <c r="H6" s="6" t="s">
        <v>167</v>
      </c>
      <c r="I6" s="2" t="s">
        <v>467</v>
      </c>
      <c r="J6" s="2" t="s">
        <v>468</v>
      </c>
      <c r="K6" s="2" t="s">
        <v>469</v>
      </c>
    </row>
    <row r="7" spans="1:11" ht="15">
      <c r="A7" s="25"/>
      <c r="B7" s="8"/>
      <c r="C7" s="8"/>
      <c r="D7" s="8"/>
      <c r="E7" s="58"/>
      <c r="F7" s="8"/>
      <c r="G7" s="58"/>
      <c r="H7" s="58"/>
      <c r="I7" s="58"/>
      <c r="J7" s="58"/>
      <c r="K7" s="58"/>
    </row>
    <row r="8" spans="1:11" ht="15">
      <c r="A8" s="61" t="s">
        <v>168</v>
      </c>
      <c r="B8" s="13"/>
      <c r="C8" s="13"/>
      <c r="D8" s="13"/>
      <c r="E8" s="86">
        <f>SUM(E9:APP_FIN_04)</f>
        <v>0</v>
      </c>
      <c r="F8" s="98"/>
      <c r="G8" s="86">
        <f>SUM(G9:APP_FIN_06)</f>
        <v>0</v>
      </c>
      <c r="H8" s="86">
        <f>SUM(H9:APP_FIN_07)</f>
        <v>0</v>
      </c>
      <c r="I8" s="86">
        <f>SUM(I9:APP_FIN_08)</f>
        <v>0</v>
      </c>
      <c r="J8" s="86">
        <f>SUM(J9:APP_FIN_09)</f>
        <v>0</v>
      </c>
      <c r="K8" s="86">
        <f>SUM(K9:APP_FIN_10)</f>
        <v>0</v>
      </c>
    </row>
    <row r="9" spans="1:11" s="10" customFormat="1" ht="15">
      <c r="A9" s="62" t="s">
        <v>169</v>
      </c>
      <c r="B9" s="59"/>
      <c r="C9" s="59"/>
      <c r="D9" s="59"/>
      <c r="E9" s="84">
        <v>0</v>
      </c>
      <c r="F9" s="84">
        <v>0</v>
      </c>
      <c r="G9" s="84">
        <v>0</v>
      </c>
      <c r="H9" s="84">
        <v>0</v>
      </c>
      <c r="I9" s="84">
        <v>0</v>
      </c>
      <c r="J9" s="84">
        <v>0</v>
      </c>
      <c r="K9" s="84">
        <f>E9-J9</f>
        <v>0</v>
      </c>
    </row>
    <row r="10" spans="1:11" s="10" customFormat="1" ht="15">
      <c r="A10" s="62" t="s">
        <v>170</v>
      </c>
      <c r="B10" s="59"/>
      <c r="C10" s="59"/>
      <c r="D10" s="59"/>
      <c r="E10" s="84">
        <v>0</v>
      </c>
      <c r="F10" s="84">
        <v>0</v>
      </c>
      <c r="G10" s="84">
        <v>0</v>
      </c>
      <c r="H10" s="84">
        <v>0</v>
      </c>
      <c r="I10" s="84">
        <v>0</v>
      </c>
      <c r="J10" s="84">
        <v>0</v>
      </c>
      <c r="K10" s="84">
        <f>E10-J10</f>
        <v>0</v>
      </c>
    </row>
    <row r="11" spans="1:11" s="10" customFormat="1" ht="15">
      <c r="A11" s="62" t="s">
        <v>171</v>
      </c>
      <c r="B11" s="59"/>
      <c r="C11" s="59"/>
      <c r="D11" s="59"/>
      <c r="E11" s="84">
        <v>0</v>
      </c>
      <c r="F11" s="84">
        <v>0</v>
      </c>
      <c r="G11" s="84">
        <v>0</v>
      </c>
      <c r="H11" s="84">
        <v>0</v>
      </c>
      <c r="I11" s="84">
        <v>0</v>
      </c>
      <c r="J11" s="84">
        <v>0</v>
      </c>
      <c r="K11" s="84">
        <f>E11-J11</f>
        <v>0</v>
      </c>
    </row>
    <row r="12" spans="1:11" s="10" customFormat="1" ht="15">
      <c r="A12" s="62" t="s">
        <v>172</v>
      </c>
      <c r="B12" s="59"/>
      <c r="C12" s="59"/>
      <c r="D12" s="59"/>
      <c r="E12" s="84">
        <v>0</v>
      </c>
      <c r="F12" s="84">
        <v>0</v>
      </c>
      <c r="G12" s="84">
        <v>0</v>
      </c>
      <c r="H12" s="84">
        <v>0</v>
      </c>
      <c r="I12" s="84">
        <v>0</v>
      </c>
      <c r="J12" s="84">
        <v>0</v>
      </c>
      <c r="K12" s="84">
        <f>E12-J12</f>
        <v>0</v>
      </c>
    </row>
    <row r="13" spans="1:11" ht="15">
      <c r="A13" s="63" t="s">
        <v>146</v>
      </c>
      <c r="B13" s="60"/>
      <c r="C13" s="60"/>
      <c r="D13" s="60"/>
      <c r="E13" s="85"/>
      <c r="F13" s="85"/>
      <c r="G13" s="85"/>
      <c r="H13" s="85"/>
      <c r="I13" s="85"/>
      <c r="J13" s="85"/>
      <c r="K13" s="85"/>
    </row>
    <row r="14" spans="1:11" ht="15">
      <c r="A14" s="61" t="s">
        <v>173</v>
      </c>
      <c r="B14" s="13"/>
      <c r="C14" s="13"/>
      <c r="D14" s="13"/>
      <c r="E14" s="86">
        <f>SUM(E15:OTROS_FIN_04)</f>
        <v>0</v>
      </c>
      <c r="F14" s="98"/>
      <c r="G14" s="86">
        <f>SUM(G15:OTROS_FIN_06)</f>
        <v>0</v>
      </c>
      <c r="H14" s="86">
        <f>SUM(H15:OTROS_FIN_07)</f>
        <v>0</v>
      </c>
      <c r="I14" s="86">
        <f>SUM(I15:OTROS_FIN_08)</f>
        <v>0</v>
      </c>
      <c r="J14" s="86">
        <f>SUM(J15:OTROS_FIN_09)</f>
        <v>0</v>
      </c>
      <c r="K14" s="86">
        <f>SUM(K15:OTROS_FIN_10)</f>
        <v>0</v>
      </c>
    </row>
    <row r="15" spans="1:11" s="10" customFormat="1" ht="15">
      <c r="A15" s="62" t="s">
        <v>174</v>
      </c>
      <c r="B15" s="59"/>
      <c r="C15" s="59"/>
      <c r="D15" s="59"/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f>E15-J15</f>
        <v>0</v>
      </c>
    </row>
    <row r="16" spans="1:11" s="10" customFormat="1" ht="15">
      <c r="A16" s="62" t="s">
        <v>175</v>
      </c>
      <c r="B16" s="59"/>
      <c r="C16" s="59"/>
      <c r="D16" s="59"/>
      <c r="E16" s="84">
        <v>0</v>
      </c>
      <c r="F16" s="84">
        <v>0</v>
      </c>
      <c r="G16" s="84">
        <v>0</v>
      </c>
      <c r="H16" s="84">
        <v>0</v>
      </c>
      <c r="I16" s="84">
        <v>0</v>
      </c>
      <c r="J16" s="84">
        <v>0</v>
      </c>
      <c r="K16" s="84">
        <f>E16-J16</f>
        <v>0</v>
      </c>
    </row>
    <row r="17" spans="1:11" s="10" customFormat="1" ht="15">
      <c r="A17" s="62" t="s">
        <v>176</v>
      </c>
      <c r="B17" s="59"/>
      <c r="C17" s="59"/>
      <c r="D17" s="59"/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f>E17-J17</f>
        <v>0</v>
      </c>
    </row>
    <row r="18" spans="1:11" s="10" customFormat="1" ht="15">
      <c r="A18" s="62" t="s">
        <v>177</v>
      </c>
      <c r="B18" s="59"/>
      <c r="C18" s="59"/>
      <c r="D18" s="59"/>
      <c r="E18" s="84">
        <v>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f>E18-J18</f>
        <v>0</v>
      </c>
    </row>
    <row r="19" spans="1:11" ht="15">
      <c r="A19" s="63" t="s">
        <v>146</v>
      </c>
      <c r="B19" s="60"/>
      <c r="C19" s="60"/>
      <c r="D19" s="60"/>
      <c r="E19" s="85"/>
      <c r="F19" s="85"/>
      <c r="G19" s="85"/>
      <c r="H19" s="85"/>
      <c r="I19" s="85"/>
      <c r="J19" s="85"/>
      <c r="K19" s="85"/>
    </row>
    <row r="20" spans="1:11" ht="15">
      <c r="A20" s="61" t="s">
        <v>178</v>
      </c>
      <c r="B20" s="13"/>
      <c r="C20" s="13"/>
      <c r="D20" s="13"/>
      <c r="E20" s="86">
        <f>fdggdfgdgfd+sdfsdfsfds</f>
        <v>0</v>
      </c>
      <c r="F20" s="98"/>
      <c r="G20" s="86">
        <f>sdfsfsdf+OTROS_T6</f>
        <v>0</v>
      </c>
      <c r="H20" s="86">
        <f>APP_T7+dsfdsdsdsdsdsdsdsdsdsdsdsdsdsdsdsdsdsdsdsdsdsdsdsdsdsdsdsdsdsdsdsdsdsds</f>
        <v>0</v>
      </c>
      <c r="I20" s="86">
        <f>APP_T8+dsfsfdsffffffff</f>
        <v>0</v>
      </c>
      <c r="J20" s="86">
        <f>fdsfdsfdsfdsfdsfdsfdsfdsfdsfdsfdsfds+OTROS_T9</f>
        <v>0</v>
      </c>
      <c r="K20" s="86">
        <f>APP_T10+OTROS_T10</f>
        <v>0</v>
      </c>
    </row>
    <row r="21" spans="1:11" ht="15">
      <c r="A21" s="35"/>
      <c r="B21" s="9"/>
      <c r="C21" s="9"/>
      <c r="D21" s="9"/>
      <c r="E21" s="42"/>
      <c r="F21" s="9"/>
      <c r="G21" s="42"/>
      <c r="H21" s="42"/>
      <c r="I21" s="42"/>
      <c r="J21" s="42"/>
      <c r="K21" s="42"/>
    </row>
    <row r="22" ht="15" customHeight="1"/>
  </sheetData>
  <sheetProtection/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9" r:id="rId1"/>
  <ignoredErrors>
    <ignoredError sqref="E8:J8 E14:J14 E20:J20 K8:K2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zoomScale="70" zoomScaleNormal="70" zoomScalePageLayoutView="0" workbookViewId="0" topLeftCell="A46">
      <selection activeCell="C71" sqref="C71"/>
    </sheetView>
  </sheetViews>
  <sheetFormatPr defaultColWidth="1.28515625" defaultRowHeight="15" zeroHeight="1"/>
  <cols>
    <col min="1" max="1" width="101.421875" style="0" customWidth="1"/>
    <col min="2" max="4" width="25.7109375" style="0" customWidth="1"/>
    <col min="5" max="255" width="11.421875" style="0" hidden="1" customWidth="1"/>
  </cols>
  <sheetData>
    <row r="1" spans="1:4" ht="21">
      <c r="A1" s="150" t="s">
        <v>179</v>
      </c>
      <c r="B1" s="150"/>
      <c r="C1" s="150"/>
      <c r="D1" s="150"/>
    </row>
    <row r="2" spans="1:4" ht="15">
      <c r="A2" s="135" t="s">
        <v>291</v>
      </c>
      <c r="B2" s="136"/>
      <c r="C2" s="136"/>
      <c r="D2" s="137"/>
    </row>
    <row r="3" spans="1:4" ht="15">
      <c r="A3" s="138" t="s">
        <v>180</v>
      </c>
      <c r="B3" s="139"/>
      <c r="C3" s="139"/>
      <c r="D3" s="140"/>
    </row>
    <row r="4" spans="1:4" ht="15">
      <c r="A4" s="141" t="s">
        <v>466</v>
      </c>
      <c r="B4" s="142"/>
      <c r="C4" s="142"/>
      <c r="D4" s="143"/>
    </row>
    <row r="5" spans="1:4" ht="15">
      <c r="A5" s="144" t="s">
        <v>2</v>
      </c>
      <c r="B5" s="145"/>
      <c r="C5" s="145"/>
      <c r="D5" s="146"/>
    </row>
    <row r="6" spans="1:4" ht="15">
      <c r="A6" s="38"/>
      <c r="B6" s="38"/>
      <c r="C6" s="38"/>
      <c r="D6" s="38"/>
    </row>
    <row r="7" spans="1:4" ht="30">
      <c r="A7" s="14" t="s">
        <v>4</v>
      </c>
      <c r="B7" s="6" t="s">
        <v>181</v>
      </c>
      <c r="C7" s="6" t="s">
        <v>182</v>
      </c>
      <c r="D7" s="6" t="s">
        <v>183</v>
      </c>
    </row>
    <row r="8" spans="1:4" ht="15">
      <c r="A8" s="23" t="s">
        <v>184</v>
      </c>
      <c r="B8" s="48">
        <f>SUM(B9:B11)</f>
        <v>22300358597</v>
      </c>
      <c r="C8" s="48">
        <f>SUM(C9:C11)</f>
        <v>6105544442</v>
      </c>
      <c r="D8" s="48">
        <f>SUM(D9:D11)</f>
        <v>6105537300</v>
      </c>
    </row>
    <row r="9" spans="1:4" ht="15">
      <c r="A9" s="20" t="s">
        <v>185</v>
      </c>
      <c r="B9" s="50">
        <v>11307589765</v>
      </c>
      <c r="C9" s="50">
        <v>3146122200.4599996</v>
      </c>
      <c r="D9" s="57">
        <v>3146115058.4599996</v>
      </c>
    </row>
    <row r="10" spans="1:4" ht="15">
      <c r="A10" s="20" t="s">
        <v>186</v>
      </c>
      <c r="B10" s="50">
        <v>11042353021</v>
      </c>
      <c r="C10" s="50">
        <v>2971159899.2400002</v>
      </c>
      <c r="D10" s="57">
        <v>2971159899.2400002</v>
      </c>
    </row>
    <row r="11" spans="1:4" ht="15">
      <c r="A11" s="20" t="s">
        <v>187</v>
      </c>
      <c r="B11" s="50">
        <v>-49584189</v>
      </c>
      <c r="C11" s="50">
        <v>-11737657.7</v>
      </c>
      <c r="D11" s="50">
        <v>-11737657.7</v>
      </c>
    </row>
    <row r="12" spans="1:4" ht="15">
      <c r="A12" s="22"/>
      <c r="B12" s="41"/>
      <c r="C12" s="41"/>
      <c r="D12" s="41"/>
    </row>
    <row r="13" spans="1:4" ht="15">
      <c r="A13" s="23" t="s">
        <v>188</v>
      </c>
      <c r="B13" s="48">
        <f>B14+B15</f>
        <v>22300358597</v>
      </c>
      <c r="C13" s="48">
        <f>C14+C15</f>
        <v>4839569528.7300005</v>
      </c>
      <c r="D13" s="48">
        <f>D14+D15</f>
        <v>4829834289.130001</v>
      </c>
    </row>
    <row r="14" spans="1:4" ht="15">
      <c r="A14" s="20" t="s">
        <v>189</v>
      </c>
      <c r="B14" s="50">
        <v>11258005576</v>
      </c>
      <c r="C14" s="50">
        <v>2182013931.5900006</v>
      </c>
      <c r="D14" s="50">
        <v>2172278691.9900007</v>
      </c>
    </row>
    <row r="15" spans="1:4" ht="15">
      <c r="A15" s="20" t="s">
        <v>190</v>
      </c>
      <c r="B15" s="50">
        <v>11042353021</v>
      </c>
      <c r="C15" s="50">
        <v>2657555597.14</v>
      </c>
      <c r="D15" s="50">
        <v>2657555597.14</v>
      </c>
    </row>
    <row r="16" spans="1:4" ht="15">
      <c r="A16" s="22"/>
      <c r="B16" s="41"/>
      <c r="C16" s="41"/>
      <c r="D16" s="41"/>
    </row>
    <row r="17" spans="1:4" ht="15">
      <c r="A17" s="23" t="s">
        <v>191</v>
      </c>
      <c r="B17" s="16">
        <f>B18+B19</f>
        <v>0</v>
      </c>
      <c r="C17" s="15">
        <f>C18+C19</f>
        <v>41468655.18000001</v>
      </c>
      <c r="D17" s="15">
        <f>D18+D19</f>
        <v>41468655.18</v>
      </c>
    </row>
    <row r="18" spans="1:4" ht="15">
      <c r="A18" s="20" t="s">
        <v>192</v>
      </c>
      <c r="B18" s="17">
        <v>0</v>
      </c>
      <c r="C18" s="57">
        <v>11284343.870000001</v>
      </c>
      <c r="D18" s="57">
        <v>11284343.870000003</v>
      </c>
    </row>
    <row r="19" spans="1:4" ht="15">
      <c r="A19" s="20" t="s">
        <v>193</v>
      </c>
      <c r="B19" s="17">
        <v>0</v>
      </c>
      <c r="C19" s="57">
        <v>30184311.310000002</v>
      </c>
      <c r="D19" s="57">
        <v>30184311.31</v>
      </c>
    </row>
    <row r="20" spans="1:4" ht="15">
      <c r="A20" s="22"/>
      <c r="B20" s="41"/>
      <c r="C20" s="41"/>
      <c r="D20" s="41"/>
    </row>
    <row r="21" spans="1:4" ht="15">
      <c r="A21" s="23" t="s">
        <v>194</v>
      </c>
      <c r="B21" s="99">
        <f>B8-B13+B17</f>
        <v>0</v>
      </c>
      <c r="C21" s="48">
        <f>C8-C13+C17</f>
        <v>1307443568.4499996</v>
      </c>
      <c r="D21" s="48">
        <f>D8-D13+D17</f>
        <v>1317171666.049999</v>
      </c>
    </row>
    <row r="22" spans="1:4" ht="15">
      <c r="A22" s="23"/>
      <c r="B22" s="41"/>
      <c r="C22" s="41"/>
      <c r="D22" s="41"/>
    </row>
    <row r="23" spans="1:4" ht="15">
      <c r="A23" s="23" t="s">
        <v>195</v>
      </c>
      <c r="B23" s="48">
        <f>B21-B11</f>
        <v>49584189</v>
      </c>
      <c r="C23" s="48">
        <f>C21-C11</f>
        <v>1319181226.1499996</v>
      </c>
      <c r="D23" s="48">
        <f>D21-D11</f>
        <v>1328909323.749999</v>
      </c>
    </row>
    <row r="24" spans="1:4" ht="15">
      <c r="A24" s="23"/>
      <c r="B24" s="56"/>
      <c r="C24" s="56"/>
      <c r="D24" s="56"/>
    </row>
    <row r="25" spans="1:4" ht="15">
      <c r="A25" s="44" t="s">
        <v>196</v>
      </c>
      <c r="B25" s="48">
        <f>B23-B17</f>
        <v>49584189</v>
      </c>
      <c r="C25" s="48">
        <f>C23-C17</f>
        <v>1277712570.9699996</v>
      </c>
      <c r="D25" s="48">
        <f>D23-D17</f>
        <v>1287440668.569999</v>
      </c>
    </row>
    <row r="26" spans="1:4" ht="15">
      <c r="A26" s="55"/>
      <c r="B26" s="42"/>
      <c r="C26" s="42"/>
      <c r="D26" s="42"/>
    </row>
    <row r="27" spans="1:4" ht="15">
      <c r="A27" s="69"/>
      <c r="B27" s="38"/>
      <c r="C27" s="38"/>
      <c r="D27" s="38"/>
    </row>
    <row r="28" spans="1:4" ht="15">
      <c r="A28" s="14" t="s">
        <v>197</v>
      </c>
      <c r="B28" s="6" t="s">
        <v>198</v>
      </c>
      <c r="C28" s="6" t="s">
        <v>182</v>
      </c>
      <c r="D28" s="6" t="s">
        <v>199</v>
      </c>
    </row>
    <row r="29" spans="1:4" ht="15">
      <c r="A29" s="23" t="s">
        <v>200</v>
      </c>
      <c r="B29" s="27">
        <f>B30+B31</f>
        <v>173560160</v>
      </c>
      <c r="C29" s="27">
        <f>C30+C31</f>
        <v>45936647.39</v>
      </c>
      <c r="D29" s="27">
        <f>D30+D31</f>
        <v>45936647.39</v>
      </c>
    </row>
    <row r="30" spans="1:4" ht="15">
      <c r="A30" s="20" t="s">
        <v>201</v>
      </c>
      <c r="B30" s="28">
        <v>173560160</v>
      </c>
      <c r="C30" s="28">
        <v>45936647.39</v>
      </c>
      <c r="D30" s="28">
        <v>45936647.39</v>
      </c>
    </row>
    <row r="31" spans="1:4" ht="15">
      <c r="A31" s="20" t="s">
        <v>202</v>
      </c>
      <c r="B31" s="84">
        <v>0</v>
      </c>
      <c r="C31" s="84">
        <v>0</v>
      </c>
      <c r="D31" s="84">
        <v>0</v>
      </c>
    </row>
    <row r="32" spans="1:4" ht="15">
      <c r="A32" s="34"/>
      <c r="B32" s="29"/>
      <c r="C32" s="29"/>
      <c r="D32" s="29"/>
    </row>
    <row r="33" spans="1:4" ht="15">
      <c r="A33" s="23" t="s">
        <v>203</v>
      </c>
      <c r="B33" s="27">
        <f>B25+B29</f>
        <v>223144349</v>
      </c>
      <c r="C33" s="27">
        <f>C25+C29</f>
        <v>1323649218.3599997</v>
      </c>
      <c r="D33" s="27">
        <f>D25+D29</f>
        <v>1333377315.959999</v>
      </c>
    </row>
    <row r="34" spans="1:4" ht="15">
      <c r="A34" s="35"/>
      <c r="B34" s="35"/>
      <c r="C34" s="35"/>
      <c r="D34" s="35"/>
    </row>
    <row r="35" spans="1:4" ht="15">
      <c r="A35" s="69"/>
      <c r="B35" s="38"/>
      <c r="C35" s="38"/>
      <c r="D35" s="38"/>
    </row>
    <row r="36" spans="1:4" ht="30">
      <c r="A36" s="14" t="s">
        <v>197</v>
      </c>
      <c r="B36" s="6" t="s">
        <v>204</v>
      </c>
      <c r="C36" s="6" t="s">
        <v>182</v>
      </c>
      <c r="D36" s="6" t="s">
        <v>183</v>
      </c>
    </row>
    <row r="37" spans="1:4" ht="15">
      <c r="A37" s="23" t="s">
        <v>205</v>
      </c>
      <c r="B37" s="86">
        <f>B38+B39</f>
        <v>0</v>
      </c>
      <c r="C37" s="86">
        <f>C38+C39</f>
        <v>0</v>
      </c>
      <c r="D37" s="86">
        <f>D38+D39</f>
        <v>0</v>
      </c>
    </row>
    <row r="38" spans="1:4" ht="15">
      <c r="A38" s="20" t="s">
        <v>206</v>
      </c>
      <c r="B38" s="84">
        <v>0</v>
      </c>
      <c r="C38" s="84">
        <v>0</v>
      </c>
      <c r="D38" s="84">
        <v>0</v>
      </c>
    </row>
    <row r="39" spans="1:4" ht="15">
      <c r="A39" s="20" t="s">
        <v>207</v>
      </c>
      <c r="B39" s="84">
        <v>0</v>
      </c>
      <c r="C39" s="84">
        <v>0</v>
      </c>
      <c r="D39" s="84">
        <v>0</v>
      </c>
    </row>
    <row r="40" spans="1:4" ht="15">
      <c r="A40" s="23" t="s">
        <v>208</v>
      </c>
      <c r="B40" s="86">
        <f>B41+B42</f>
        <v>49584189</v>
      </c>
      <c r="C40" s="86">
        <f>C41+C42</f>
        <v>11737657.7</v>
      </c>
      <c r="D40" s="86">
        <f>D41+D42</f>
        <v>11737657.7</v>
      </c>
    </row>
    <row r="41" spans="1:4" ht="15">
      <c r="A41" s="20" t="s">
        <v>209</v>
      </c>
      <c r="B41" s="84">
        <v>49584189</v>
      </c>
      <c r="C41" s="84">
        <v>11737657.7</v>
      </c>
      <c r="D41" s="84">
        <v>11737657.7</v>
      </c>
    </row>
    <row r="42" spans="1:4" ht="15">
      <c r="A42" s="20" t="s">
        <v>210</v>
      </c>
      <c r="B42" s="84">
        <v>0</v>
      </c>
      <c r="C42" s="84">
        <v>0</v>
      </c>
      <c r="D42" s="84">
        <v>0</v>
      </c>
    </row>
    <row r="43" spans="1:4" ht="15">
      <c r="A43" s="34"/>
      <c r="B43" s="85"/>
      <c r="C43" s="85"/>
      <c r="D43" s="85"/>
    </row>
    <row r="44" spans="1:4" ht="15">
      <c r="A44" s="23" t="s">
        <v>211</v>
      </c>
      <c r="B44" s="86">
        <f>B37-B40</f>
        <v>-49584189</v>
      </c>
      <c r="C44" s="86">
        <f>C37-C40</f>
        <v>-11737657.7</v>
      </c>
      <c r="D44" s="86">
        <f>D37-D40</f>
        <v>-11737657.7</v>
      </c>
    </row>
    <row r="45" spans="1:4" ht="15">
      <c r="A45" s="54"/>
      <c r="B45" s="35"/>
      <c r="C45" s="35"/>
      <c r="D45" s="35"/>
    </row>
    <row r="46" spans="1:4" ht="15">
      <c r="A46" s="38"/>
      <c r="B46" s="38"/>
      <c r="C46" s="38"/>
      <c r="D46" s="38"/>
    </row>
    <row r="47" spans="1:4" ht="30">
      <c r="A47" s="14" t="s">
        <v>197</v>
      </c>
      <c r="B47" s="6" t="s">
        <v>204</v>
      </c>
      <c r="C47" s="6" t="s">
        <v>182</v>
      </c>
      <c r="D47" s="6" t="s">
        <v>183</v>
      </c>
    </row>
    <row r="48" spans="1:4" ht="15">
      <c r="A48" s="45" t="s">
        <v>212</v>
      </c>
      <c r="B48" s="51">
        <f>B9</f>
        <v>11307589765</v>
      </c>
      <c r="C48" s="51">
        <f>C9</f>
        <v>3146122200.4599996</v>
      </c>
      <c r="D48" s="51">
        <f>D9</f>
        <v>3146115058.4599996</v>
      </c>
    </row>
    <row r="49" spans="1:4" ht="15">
      <c r="A49" s="47" t="s">
        <v>213</v>
      </c>
      <c r="B49" s="27">
        <f>B50-B51</f>
        <v>-49584189</v>
      </c>
      <c r="C49" s="27">
        <f>C50-C51</f>
        <v>-11737657.7</v>
      </c>
      <c r="D49" s="27">
        <f>D50-D51</f>
        <v>-11737657.7</v>
      </c>
    </row>
    <row r="50" spans="1:4" ht="15">
      <c r="A50" s="49" t="s">
        <v>206</v>
      </c>
      <c r="B50" s="84">
        <f>+B38</f>
        <v>0</v>
      </c>
      <c r="C50" s="84">
        <f>+C38</f>
        <v>0</v>
      </c>
      <c r="D50" s="84">
        <f>+D38</f>
        <v>0</v>
      </c>
    </row>
    <row r="51" spans="1:4" ht="15">
      <c r="A51" s="49" t="s">
        <v>209</v>
      </c>
      <c r="B51" s="84">
        <f>+B41</f>
        <v>49584189</v>
      </c>
      <c r="C51" s="84">
        <f>+C41</f>
        <v>11737657.7</v>
      </c>
      <c r="D51" s="84">
        <f>+D41</f>
        <v>11737657.7</v>
      </c>
    </row>
    <row r="52" spans="1:4" ht="15">
      <c r="A52" s="34"/>
      <c r="B52" s="85"/>
      <c r="C52" s="85"/>
      <c r="D52" s="85"/>
    </row>
    <row r="53" spans="1:4" ht="15">
      <c r="A53" s="20" t="s">
        <v>189</v>
      </c>
      <c r="B53" s="84">
        <f>B14</f>
        <v>11258005576</v>
      </c>
      <c r="C53" s="84">
        <f>C14</f>
        <v>2182013931.5900006</v>
      </c>
      <c r="D53" s="84">
        <f>D14</f>
        <v>2172278691.9900007</v>
      </c>
    </row>
    <row r="54" spans="1:4" ht="15">
      <c r="A54" s="34"/>
      <c r="B54" s="85"/>
      <c r="C54" s="85"/>
      <c r="D54" s="85"/>
    </row>
    <row r="55" spans="1:4" ht="15">
      <c r="A55" s="20" t="s">
        <v>192</v>
      </c>
      <c r="B55" s="100">
        <f>B18</f>
        <v>0</v>
      </c>
      <c r="C55" s="101">
        <f>C18</f>
        <v>11284343.870000001</v>
      </c>
      <c r="D55" s="101">
        <f>D18</f>
        <v>11284343.870000003</v>
      </c>
    </row>
    <row r="56" spans="1:4" ht="15">
      <c r="A56" s="34"/>
      <c r="B56" s="85"/>
      <c r="C56" s="85"/>
      <c r="D56" s="85"/>
    </row>
    <row r="57" spans="1:4" ht="30">
      <c r="A57" s="44" t="s">
        <v>214</v>
      </c>
      <c r="B57" s="86">
        <f>B48+B49-B53+B55</f>
        <v>0</v>
      </c>
      <c r="C57" s="86">
        <f>C48+C49-C53+C55</f>
        <v>963654955.0399991</v>
      </c>
      <c r="D57" s="86">
        <f>D48+D49-D53+D55</f>
        <v>973383052.639999</v>
      </c>
    </row>
    <row r="58" spans="1:4" ht="15">
      <c r="A58" s="52"/>
      <c r="B58" s="53"/>
      <c r="C58" s="53"/>
      <c r="D58" s="53"/>
    </row>
    <row r="59" spans="1:4" ht="15">
      <c r="A59" s="44" t="s">
        <v>215</v>
      </c>
      <c r="B59" s="27">
        <f>B57-B49</f>
        <v>49584189</v>
      </c>
      <c r="C59" s="27">
        <f>C57-C49</f>
        <v>975392612.7399992</v>
      </c>
      <c r="D59" s="27">
        <f>D57-D49</f>
        <v>985120710.3399991</v>
      </c>
    </row>
    <row r="60" spans="1:4" ht="15">
      <c r="A60" s="35"/>
      <c r="B60" s="35"/>
      <c r="C60" s="35"/>
      <c r="D60" s="35"/>
    </row>
    <row r="61" spans="1:4" ht="15">
      <c r="A61" s="38"/>
      <c r="B61" s="38"/>
      <c r="C61" s="38"/>
      <c r="D61" s="38"/>
    </row>
    <row r="62" spans="1:4" ht="30">
      <c r="A62" s="14" t="s">
        <v>197</v>
      </c>
      <c r="B62" s="6" t="s">
        <v>204</v>
      </c>
      <c r="C62" s="6" t="s">
        <v>182</v>
      </c>
      <c r="D62" s="6" t="s">
        <v>183</v>
      </c>
    </row>
    <row r="63" spans="1:4" ht="15">
      <c r="A63" s="45" t="s">
        <v>186</v>
      </c>
      <c r="B63" s="46">
        <f>B10</f>
        <v>11042353021</v>
      </c>
      <c r="C63" s="46">
        <f>C10</f>
        <v>2971159899.2400002</v>
      </c>
      <c r="D63" s="46">
        <f>D10</f>
        <v>2971159899.2400002</v>
      </c>
    </row>
    <row r="64" spans="1:4" ht="30">
      <c r="A64" s="47" t="s">
        <v>216</v>
      </c>
      <c r="B64" s="99">
        <f>B65-B66</f>
        <v>0</v>
      </c>
      <c r="C64" s="99">
        <f>C65-C66</f>
        <v>0</v>
      </c>
      <c r="D64" s="99">
        <f>D65-D66</f>
        <v>0</v>
      </c>
    </row>
    <row r="65" spans="1:4" ht="15">
      <c r="A65" s="49" t="s">
        <v>207</v>
      </c>
      <c r="B65" s="102">
        <f>+B39</f>
        <v>0</v>
      </c>
      <c r="C65" s="102">
        <f>+C39</f>
        <v>0</v>
      </c>
      <c r="D65" s="102">
        <f>+D39</f>
        <v>0</v>
      </c>
    </row>
    <row r="66" spans="1:4" ht="15">
      <c r="A66" s="49" t="s">
        <v>210</v>
      </c>
      <c r="B66" s="102">
        <f>+B42</f>
        <v>0</v>
      </c>
      <c r="C66" s="102">
        <f>+C42</f>
        <v>0</v>
      </c>
      <c r="D66" s="102">
        <f>+D42</f>
        <v>0</v>
      </c>
    </row>
    <row r="67" spans="1:4" ht="15">
      <c r="A67" s="34"/>
      <c r="B67" s="92"/>
      <c r="C67" s="92"/>
      <c r="D67" s="92"/>
    </row>
    <row r="68" spans="1:4" ht="15">
      <c r="A68" s="20" t="s">
        <v>217</v>
      </c>
      <c r="B68" s="102">
        <f>B15</f>
        <v>11042353021</v>
      </c>
      <c r="C68" s="102">
        <f>C15</f>
        <v>2657555597.14</v>
      </c>
      <c r="D68" s="102">
        <f>D15</f>
        <v>2657555597.14</v>
      </c>
    </row>
    <row r="69" spans="1:4" ht="15">
      <c r="A69" s="34"/>
      <c r="B69" s="92"/>
      <c r="C69" s="92"/>
      <c r="D69" s="92"/>
    </row>
    <row r="70" spans="1:4" ht="15">
      <c r="A70" s="20" t="s">
        <v>193</v>
      </c>
      <c r="B70" s="103">
        <f>B19</f>
        <v>0</v>
      </c>
      <c r="C70" s="104">
        <f>C19</f>
        <v>30184311.310000002</v>
      </c>
      <c r="D70" s="104">
        <f>D19</f>
        <v>30184311.31</v>
      </c>
    </row>
    <row r="71" spans="1:4" ht="15">
      <c r="A71" s="34"/>
      <c r="B71" s="92"/>
      <c r="C71" s="92"/>
      <c r="D71" s="92"/>
    </row>
    <row r="72" spans="1:4" ht="30">
      <c r="A72" s="44" t="s">
        <v>218</v>
      </c>
      <c r="B72" s="99">
        <f>B63+B64-B68+B70</f>
        <v>0</v>
      </c>
      <c r="C72" s="99">
        <f>C63+C64-C68+C70</f>
        <v>343788613.4100004</v>
      </c>
      <c r="D72" s="99">
        <f>D63+D64-D68+D70</f>
        <v>343788613.4100004</v>
      </c>
    </row>
    <row r="73" spans="1:4" ht="15">
      <c r="A73" s="34"/>
      <c r="B73" s="92"/>
      <c r="C73" s="92"/>
      <c r="D73" s="92"/>
    </row>
    <row r="74" spans="1:4" ht="15">
      <c r="A74" s="44" t="s">
        <v>219</v>
      </c>
      <c r="B74" s="99">
        <f>B72-B64</f>
        <v>0</v>
      </c>
      <c r="C74" s="99">
        <f>C72-C64</f>
        <v>343788613.4100004</v>
      </c>
      <c r="D74" s="99">
        <f>D72-D64</f>
        <v>343788613.4100004</v>
      </c>
    </row>
    <row r="75" spans="1:4" ht="15">
      <c r="A75" s="35"/>
      <c r="B75" s="42"/>
      <c r="C75" s="42"/>
      <c r="D75" s="42"/>
    </row>
    <row r="76" ht="15"/>
  </sheetData>
  <sheetProtection/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29:D33 B37:D44 B48:D59 B8:D25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5511811023622047" header="0.31496062992125984" footer="0.31496062992125984"/>
  <pageSetup fitToHeight="2" fitToWidth="1" horizontalDpi="600" verticalDpi="600" orientation="portrait" scale="53" r:id="rId1"/>
  <ignoredErrors>
    <ignoredError sqref="B8:D8 B13:D13 C17:D17 B21:D25 B29:D29 B33:D33 B37:D37 B40:D40 B44:D44 B48:D49 B50:D53 B55:D59 B63:D63 B64:D64 B68:D68 C70:D71 D72:D74 C72 B74:C74 B72:B73 B65:D6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zoomScale="80" zoomScaleNormal="80" zoomScalePageLayoutView="0" workbookViewId="0" topLeftCell="A37">
      <selection activeCell="E68" sqref="E68"/>
    </sheetView>
  </sheetViews>
  <sheetFormatPr defaultColWidth="1.1484375" defaultRowHeight="15" zeroHeight="1"/>
  <cols>
    <col min="1" max="1" width="76.7109375" style="0" customWidth="1"/>
    <col min="2" max="7" width="20.7109375" style="0" customWidth="1"/>
    <col min="8" max="255" width="11.421875" style="0" hidden="1" customWidth="1"/>
  </cols>
  <sheetData>
    <row r="1" spans="1:7" ht="21">
      <c r="A1" s="154" t="s">
        <v>220</v>
      </c>
      <c r="B1" s="154"/>
      <c r="C1" s="154"/>
      <c r="D1" s="154"/>
      <c r="E1" s="154"/>
      <c r="F1" s="154"/>
      <c r="G1" s="154"/>
    </row>
    <row r="2" spans="1:7" ht="15">
      <c r="A2" s="135" t="s">
        <v>291</v>
      </c>
      <c r="B2" s="136"/>
      <c r="C2" s="136"/>
      <c r="D2" s="136"/>
      <c r="E2" s="136"/>
      <c r="F2" s="136"/>
      <c r="G2" s="137"/>
    </row>
    <row r="3" spans="1:7" ht="15">
      <c r="A3" s="138" t="s">
        <v>221</v>
      </c>
      <c r="B3" s="139"/>
      <c r="C3" s="139"/>
      <c r="D3" s="139"/>
      <c r="E3" s="139"/>
      <c r="F3" s="139"/>
      <c r="G3" s="140"/>
    </row>
    <row r="4" spans="1:7" ht="15">
      <c r="A4" s="141" t="s">
        <v>466</v>
      </c>
      <c r="B4" s="142"/>
      <c r="C4" s="142"/>
      <c r="D4" s="142"/>
      <c r="E4" s="142"/>
      <c r="F4" s="142"/>
      <c r="G4" s="143"/>
    </row>
    <row r="5" spans="1:7" ht="15">
      <c r="A5" s="144" t="s">
        <v>2</v>
      </c>
      <c r="B5" s="145"/>
      <c r="C5" s="145"/>
      <c r="D5" s="145"/>
      <c r="E5" s="145"/>
      <c r="F5" s="145"/>
      <c r="G5" s="146"/>
    </row>
    <row r="6" spans="1:7" ht="15">
      <c r="A6" s="151" t="s">
        <v>222</v>
      </c>
      <c r="B6" s="153" t="s">
        <v>223</v>
      </c>
      <c r="C6" s="153"/>
      <c r="D6" s="153"/>
      <c r="E6" s="153"/>
      <c r="F6" s="153"/>
      <c r="G6" s="153" t="s">
        <v>224</v>
      </c>
    </row>
    <row r="7" spans="1:7" ht="30">
      <c r="A7" s="152"/>
      <c r="B7" s="18" t="s">
        <v>225</v>
      </c>
      <c r="C7" s="6" t="s">
        <v>226</v>
      </c>
      <c r="D7" s="18" t="s">
        <v>227</v>
      </c>
      <c r="E7" s="18" t="s">
        <v>182</v>
      </c>
      <c r="F7" s="18" t="s">
        <v>228</v>
      </c>
      <c r="G7" s="153"/>
    </row>
    <row r="8" spans="1:7" ht="15">
      <c r="A8" s="19" t="s">
        <v>229</v>
      </c>
      <c r="B8" s="41"/>
      <c r="C8" s="41"/>
      <c r="D8" s="41"/>
      <c r="E8" s="41"/>
      <c r="F8" s="41"/>
      <c r="G8" s="41"/>
    </row>
    <row r="9" spans="1:7" ht="15">
      <c r="A9" s="115" t="s">
        <v>230</v>
      </c>
      <c r="B9" s="86">
        <v>1667820079</v>
      </c>
      <c r="C9" s="86">
        <v>0</v>
      </c>
      <c r="D9" s="86">
        <v>1667820079</v>
      </c>
      <c r="E9" s="86">
        <v>520785881.5</v>
      </c>
      <c r="F9" s="86">
        <v>520785881.5</v>
      </c>
      <c r="G9" s="86">
        <f>+F9-B9</f>
        <v>-1147034197.5</v>
      </c>
    </row>
    <row r="10" spans="1:7" ht="15">
      <c r="A10" s="115" t="s">
        <v>231</v>
      </c>
      <c r="B10" s="86">
        <v>0</v>
      </c>
      <c r="C10" s="86">
        <v>0</v>
      </c>
      <c r="D10" s="86">
        <v>0</v>
      </c>
      <c r="E10" s="86">
        <v>0</v>
      </c>
      <c r="F10" s="86">
        <v>0</v>
      </c>
      <c r="G10" s="86">
        <f aca="true" t="shared" si="0" ref="G10:G15">+F10-B10</f>
        <v>0</v>
      </c>
    </row>
    <row r="11" spans="1:7" ht="15">
      <c r="A11" s="115" t="s">
        <v>232</v>
      </c>
      <c r="B11" s="86">
        <v>0</v>
      </c>
      <c r="C11" s="86">
        <v>0</v>
      </c>
      <c r="D11" s="86">
        <v>0</v>
      </c>
      <c r="E11" s="86">
        <v>0</v>
      </c>
      <c r="F11" s="86">
        <v>0</v>
      </c>
      <c r="G11" s="86">
        <f t="shared" si="0"/>
        <v>0</v>
      </c>
    </row>
    <row r="12" spans="1:7" ht="15">
      <c r="A12" s="115" t="s">
        <v>233</v>
      </c>
      <c r="B12" s="86">
        <v>451544046</v>
      </c>
      <c r="C12" s="86">
        <v>0</v>
      </c>
      <c r="D12" s="86">
        <v>451544046</v>
      </c>
      <c r="E12" s="86">
        <v>177532332.8</v>
      </c>
      <c r="F12" s="86">
        <v>177532332.8</v>
      </c>
      <c r="G12" s="86">
        <f t="shared" si="0"/>
        <v>-274011713.2</v>
      </c>
    </row>
    <row r="13" spans="1:7" ht="15">
      <c r="A13" s="115" t="s">
        <v>234</v>
      </c>
      <c r="B13" s="86">
        <v>17998246</v>
      </c>
      <c r="C13" s="86">
        <v>8563299.75</v>
      </c>
      <c r="D13" s="86">
        <v>26561545.75</v>
      </c>
      <c r="E13" s="86">
        <v>26510969.3</v>
      </c>
      <c r="F13" s="86">
        <v>26510969.3</v>
      </c>
      <c r="G13" s="86">
        <f t="shared" si="0"/>
        <v>8512723.3</v>
      </c>
    </row>
    <row r="14" spans="1:7" ht="15">
      <c r="A14" s="115" t="s">
        <v>235</v>
      </c>
      <c r="B14" s="86">
        <v>13352173</v>
      </c>
      <c r="C14" s="86">
        <v>0</v>
      </c>
      <c r="D14" s="86">
        <v>13352173</v>
      </c>
      <c r="E14" s="86">
        <v>11648380.18</v>
      </c>
      <c r="F14" s="86">
        <v>11641238.18</v>
      </c>
      <c r="G14" s="86">
        <f t="shared" si="0"/>
        <v>-1710934.8200000003</v>
      </c>
    </row>
    <row r="15" spans="1:7" ht="15">
      <c r="A15" s="115" t="s">
        <v>236</v>
      </c>
      <c r="B15" s="86">
        <v>0</v>
      </c>
      <c r="C15" s="86">
        <v>0</v>
      </c>
      <c r="D15" s="86">
        <v>0</v>
      </c>
      <c r="E15" s="86">
        <v>0</v>
      </c>
      <c r="F15" s="86">
        <v>0</v>
      </c>
      <c r="G15" s="86">
        <f t="shared" si="0"/>
        <v>0</v>
      </c>
    </row>
    <row r="16" spans="1:7" ht="15">
      <c r="A16" s="116" t="s">
        <v>237</v>
      </c>
      <c r="B16" s="86">
        <v>9012613819</v>
      </c>
      <c r="C16" s="86">
        <v>-106399877</v>
      </c>
      <c r="D16" s="86">
        <v>8906213942</v>
      </c>
      <c r="E16" s="86">
        <v>2376032431</v>
      </c>
      <c r="F16" s="86">
        <v>2376032431</v>
      </c>
      <c r="G16" s="86">
        <f>SUM(G17:G27)</f>
        <v>-6636581388</v>
      </c>
    </row>
    <row r="17" spans="1:7" ht="15">
      <c r="A17" s="21" t="s">
        <v>238</v>
      </c>
      <c r="B17" s="84">
        <v>5737361274</v>
      </c>
      <c r="C17" s="84">
        <v>-316840237</v>
      </c>
      <c r="D17" s="122">
        <v>5420521037</v>
      </c>
      <c r="E17" s="84">
        <v>1457178710</v>
      </c>
      <c r="F17" s="84">
        <v>1457178710</v>
      </c>
      <c r="G17" s="84">
        <f>+F17-B17</f>
        <v>-4280182564</v>
      </c>
    </row>
    <row r="18" spans="1:7" ht="15">
      <c r="A18" s="21" t="s">
        <v>239</v>
      </c>
      <c r="B18" s="84">
        <v>386933569</v>
      </c>
      <c r="C18" s="84">
        <v>-650893</v>
      </c>
      <c r="D18" s="122">
        <v>386282676</v>
      </c>
      <c r="E18" s="84">
        <v>109780338</v>
      </c>
      <c r="F18" s="84">
        <v>109780338</v>
      </c>
      <c r="G18" s="84">
        <f aca="true" t="shared" si="1" ref="G18:G33">+F18-B18</f>
        <v>-277153231</v>
      </c>
    </row>
    <row r="19" spans="1:7" ht="15">
      <c r="A19" s="21" t="s">
        <v>240</v>
      </c>
      <c r="B19" s="84">
        <v>264762482</v>
      </c>
      <c r="C19" s="84">
        <v>-550213</v>
      </c>
      <c r="D19" s="122">
        <v>264212269</v>
      </c>
      <c r="E19" s="84">
        <v>62125696</v>
      </c>
      <c r="F19" s="84">
        <v>62125696</v>
      </c>
      <c r="G19" s="84">
        <f t="shared" si="1"/>
        <v>-202636786</v>
      </c>
    </row>
    <row r="20" spans="1:7" ht="15">
      <c r="A20" s="21" t="s">
        <v>241</v>
      </c>
      <c r="B20" s="84">
        <v>0</v>
      </c>
      <c r="C20" s="84">
        <v>0</v>
      </c>
      <c r="D20" s="122">
        <v>0</v>
      </c>
      <c r="E20" s="84">
        <v>0</v>
      </c>
      <c r="F20" s="84">
        <v>0</v>
      </c>
      <c r="G20" s="84">
        <f t="shared" si="1"/>
        <v>0</v>
      </c>
    </row>
    <row r="21" spans="1:7" ht="15">
      <c r="A21" s="21" t="s">
        <v>242</v>
      </c>
      <c r="B21" s="84">
        <v>1763764630</v>
      </c>
      <c r="C21" s="84">
        <v>0</v>
      </c>
      <c r="D21" s="122">
        <v>1763764630</v>
      </c>
      <c r="E21" s="84">
        <v>433090949</v>
      </c>
      <c r="F21" s="84">
        <v>433090949</v>
      </c>
      <c r="G21" s="84">
        <f t="shared" si="1"/>
        <v>-1330673681</v>
      </c>
    </row>
    <row r="22" spans="1:7" ht="15">
      <c r="A22" s="21" t="s">
        <v>243</v>
      </c>
      <c r="B22" s="84">
        <v>35523556</v>
      </c>
      <c r="C22" s="84">
        <v>2187070</v>
      </c>
      <c r="D22" s="122">
        <v>37710626</v>
      </c>
      <c r="E22" s="84">
        <v>9899180</v>
      </c>
      <c r="F22" s="84">
        <v>9899180</v>
      </c>
      <c r="G22" s="84">
        <f t="shared" si="1"/>
        <v>-25624376</v>
      </c>
    </row>
    <row r="23" spans="1:7" ht="15">
      <c r="A23" s="21" t="s">
        <v>244</v>
      </c>
      <c r="B23" s="84">
        <v>0</v>
      </c>
      <c r="C23" s="84">
        <v>0</v>
      </c>
      <c r="D23" s="122">
        <v>0</v>
      </c>
      <c r="E23" s="84">
        <v>0</v>
      </c>
      <c r="F23" s="84">
        <v>0</v>
      </c>
      <c r="G23" s="84">
        <f t="shared" si="1"/>
        <v>0</v>
      </c>
    </row>
    <row r="24" spans="1:7" ht="15">
      <c r="A24" s="21" t="s">
        <v>245</v>
      </c>
      <c r="B24" s="84">
        <v>0</v>
      </c>
      <c r="C24" s="84">
        <v>0</v>
      </c>
      <c r="D24" s="122">
        <v>0</v>
      </c>
      <c r="E24" s="84">
        <v>0</v>
      </c>
      <c r="F24" s="84">
        <v>0</v>
      </c>
      <c r="G24" s="84">
        <f t="shared" si="1"/>
        <v>0</v>
      </c>
    </row>
    <row r="25" spans="1:7" ht="15">
      <c r="A25" s="21" t="s">
        <v>246</v>
      </c>
      <c r="B25" s="84">
        <v>182271118</v>
      </c>
      <c r="C25" s="84">
        <v>32927024</v>
      </c>
      <c r="D25" s="122">
        <v>215198142</v>
      </c>
      <c r="E25" s="84">
        <v>42841195</v>
      </c>
      <c r="F25" s="84">
        <v>42841195</v>
      </c>
      <c r="G25" s="84">
        <f t="shared" si="1"/>
        <v>-139429923</v>
      </c>
    </row>
    <row r="26" spans="1:7" ht="15">
      <c r="A26" s="21" t="s">
        <v>247</v>
      </c>
      <c r="B26" s="84">
        <v>641997190</v>
      </c>
      <c r="C26" s="84">
        <v>166813427</v>
      </c>
      <c r="D26" s="122">
        <v>808810617</v>
      </c>
      <c r="E26" s="84">
        <v>251402418</v>
      </c>
      <c r="F26" s="84">
        <v>251402418</v>
      </c>
      <c r="G26" s="84">
        <f t="shared" si="1"/>
        <v>-390594772</v>
      </c>
    </row>
    <row r="27" spans="1:7" ht="15">
      <c r="A27" s="21" t="s">
        <v>248</v>
      </c>
      <c r="B27" s="84">
        <v>0</v>
      </c>
      <c r="C27" s="84">
        <v>9713945</v>
      </c>
      <c r="D27" s="122">
        <v>9713945</v>
      </c>
      <c r="E27" s="84">
        <v>9713945</v>
      </c>
      <c r="F27" s="84">
        <v>9713945</v>
      </c>
      <c r="G27" s="84">
        <f t="shared" si="1"/>
        <v>9713945</v>
      </c>
    </row>
    <row r="28" spans="1:7" ht="15">
      <c r="A28" s="115" t="s">
        <v>249</v>
      </c>
      <c r="B28" s="86">
        <v>144261402</v>
      </c>
      <c r="C28" s="86">
        <v>4370550</v>
      </c>
      <c r="D28" s="86">
        <v>148631952</v>
      </c>
      <c r="E28" s="86">
        <v>33315754.68</v>
      </c>
      <c r="F28" s="86">
        <v>33315754.68</v>
      </c>
      <c r="G28" s="86">
        <f>SUM(G29:G33)</f>
        <v>-110945647.32</v>
      </c>
    </row>
    <row r="29" spans="1:7" ht="15">
      <c r="A29" s="21" t="s">
        <v>250</v>
      </c>
      <c r="B29" s="84">
        <v>0</v>
      </c>
      <c r="C29" s="84">
        <v>0</v>
      </c>
      <c r="D29" s="84">
        <v>0</v>
      </c>
      <c r="E29" s="84">
        <v>0</v>
      </c>
      <c r="F29" s="84">
        <v>0</v>
      </c>
      <c r="G29" s="84">
        <f t="shared" si="1"/>
        <v>0</v>
      </c>
    </row>
    <row r="30" spans="1:7" ht="15">
      <c r="A30" s="21" t="s">
        <v>251</v>
      </c>
      <c r="B30" s="84">
        <v>14921500</v>
      </c>
      <c r="C30" s="84">
        <v>-4</v>
      </c>
      <c r="D30" s="84">
        <v>14921496</v>
      </c>
      <c r="E30" s="84">
        <v>3730374</v>
      </c>
      <c r="F30" s="84">
        <v>3730374</v>
      </c>
      <c r="G30" s="84">
        <f t="shared" si="1"/>
        <v>-11191126</v>
      </c>
    </row>
    <row r="31" spans="1:7" ht="15">
      <c r="A31" s="21" t="s">
        <v>252</v>
      </c>
      <c r="B31" s="84">
        <v>55292858</v>
      </c>
      <c r="C31" s="84">
        <v>4370555</v>
      </c>
      <c r="D31" s="84">
        <v>59663413</v>
      </c>
      <c r="E31" s="84">
        <v>17621431</v>
      </c>
      <c r="F31" s="84">
        <v>17621431</v>
      </c>
      <c r="G31" s="84">
        <f t="shared" si="1"/>
        <v>-37671427</v>
      </c>
    </row>
    <row r="32" spans="1:7" ht="15">
      <c r="A32" s="21" t="s">
        <v>253</v>
      </c>
      <c r="B32" s="84">
        <v>11301173</v>
      </c>
      <c r="C32" s="84">
        <v>-1</v>
      </c>
      <c r="D32" s="84">
        <v>11301172</v>
      </c>
      <c r="E32" s="84">
        <v>3496487</v>
      </c>
      <c r="F32" s="84">
        <v>3496487</v>
      </c>
      <c r="G32" s="84">
        <f t="shared" si="1"/>
        <v>-7804686</v>
      </c>
    </row>
    <row r="33" spans="1:7" ht="15">
      <c r="A33" s="21" t="s">
        <v>254</v>
      </c>
      <c r="B33" s="84">
        <v>62745871</v>
      </c>
      <c r="C33" s="84">
        <v>0</v>
      </c>
      <c r="D33" s="84">
        <v>62745871</v>
      </c>
      <c r="E33" s="84">
        <v>8467462.68</v>
      </c>
      <c r="F33" s="84">
        <v>8467462.68</v>
      </c>
      <c r="G33" s="84">
        <f t="shared" si="1"/>
        <v>-54278408.32</v>
      </c>
    </row>
    <row r="34" spans="1:7" ht="15">
      <c r="A34" s="115" t="s">
        <v>255</v>
      </c>
      <c r="B34" s="86">
        <v>0</v>
      </c>
      <c r="C34" s="86">
        <v>0</v>
      </c>
      <c r="D34" s="86">
        <v>0</v>
      </c>
      <c r="E34" s="86">
        <v>0</v>
      </c>
      <c r="F34" s="86">
        <v>0</v>
      </c>
      <c r="G34" s="86">
        <f>F34-B34</f>
        <v>0</v>
      </c>
    </row>
    <row r="35" spans="1:7" ht="15">
      <c r="A35" s="115" t="s">
        <v>256</v>
      </c>
      <c r="B35" s="86">
        <v>0</v>
      </c>
      <c r="C35" s="86">
        <v>296451</v>
      </c>
      <c r="D35" s="86">
        <v>296451</v>
      </c>
      <c r="E35" s="86">
        <v>296451</v>
      </c>
      <c r="F35" s="86">
        <v>296451</v>
      </c>
      <c r="G35" s="86">
        <f>G36</f>
        <v>296451</v>
      </c>
    </row>
    <row r="36" spans="1:7" ht="15">
      <c r="A36" s="21" t="s">
        <v>257</v>
      </c>
      <c r="B36" s="84">
        <v>0</v>
      </c>
      <c r="C36" s="84">
        <v>296451</v>
      </c>
      <c r="D36" s="84">
        <v>296451</v>
      </c>
      <c r="E36" s="84">
        <v>296451</v>
      </c>
      <c r="F36" s="84">
        <v>296451</v>
      </c>
      <c r="G36" s="84">
        <f>+F36-B36</f>
        <v>296451</v>
      </c>
    </row>
    <row r="37" spans="1:7" ht="15">
      <c r="A37" s="115" t="s">
        <v>258</v>
      </c>
      <c r="B37" s="86">
        <v>0</v>
      </c>
      <c r="C37" s="86">
        <v>0</v>
      </c>
      <c r="D37" s="86">
        <v>0</v>
      </c>
      <c r="E37" s="86">
        <v>0</v>
      </c>
      <c r="F37" s="86">
        <v>0</v>
      </c>
      <c r="G37" s="86">
        <f>G38+G39</f>
        <v>0</v>
      </c>
    </row>
    <row r="38" spans="1:7" ht="15">
      <c r="A38" s="21" t="s">
        <v>259</v>
      </c>
      <c r="B38" s="84">
        <v>0</v>
      </c>
      <c r="C38" s="84">
        <v>0</v>
      </c>
      <c r="D38" s="84">
        <v>0</v>
      </c>
      <c r="E38" s="84">
        <v>0</v>
      </c>
      <c r="F38" s="84">
        <v>0</v>
      </c>
      <c r="G38" s="84">
        <f>+F38-B38</f>
        <v>0</v>
      </c>
    </row>
    <row r="39" spans="1:7" ht="15">
      <c r="A39" s="21" t="s">
        <v>260</v>
      </c>
      <c r="B39" s="84">
        <v>0</v>
      </c>
      <c r="C39" s="84">
        <v>0</v>
      </c>
      <c r="D39" s="84">
        <v>0</v>
      </c>
      <c r="E39" s="84">
        <v>0</v>
      </c>
      <c r="F39" s="84">
        <v>0</v>
      </c>
      <c r="G39" s="84">
        <f>+F39-B39</f>
        <v>0</v>
      </c>
    </row>
    <row r="40" spans="1:7" ht="15">
      <c r="A40" s="34"/>
      <c r="B40" s="84"/>
      <c r="C40" s="84"/>
      <c r="D40" s="84"/>
      <c r="E40" s="84"/>
      <c r="F40" s="84"/>
      <c r="G40" s="84"/>
    </row>
    <row r="41" spans="1:7" ht="15">
      <c r="A41" s="23" t="s">
        <v>261</v>
      </c>
      <c r="B41" s="86">
        <f aca="true" t="shared" si="2" ref="B41:G41">SUM(B9,B10,B11,B12,B13,B14,B15,B16,B28,B34,B35,B37)</f>
        <v>11307589765</v>
      </c>
      <c r="C41" s="86">
        <f t="shared" si="2"/>
        <v>-93169576.25</v>
      </c>
      <c r="D41" s="86">
        <f t="shared" si="2"/>
        <v>11214420188.75</v>
      </c>
      <c r="E41" s="86">
        <f t="shared" si="2"/>
        <v>3146122200.4599996</v>
      </c>
      <c r="F41" s="86">
        <f t="shared" si="2"/>
        <v>3146115058.4599996</v>
      </c>
      <c r="G41" s="86">
        <f t="shared" si="2"/>
        <v>-8161474706.54</v>
      </c>
    </row>
    <row r="42" spans="1:7" ht="15">
      <c r="A42" s="23" t="s">
        <v>262</v>
      </c>
      <c r="B42" s="98"/>
      <c r="C42" s="98"/>
      <c r="D42" s="98"/>
      <c r="E42" s="98"/>
      <c r="F42" s="98"/>
      <c r="G42" s="93">
        <f>IF(G41&gt;0,G41,0)</f>
        <v>0</v>
      </c>
    </row>
    <row r="43" spans="1:7" ht="15">
      <c r="A43" s="34"/>
      <c r="B43" s="85"/>
      <c r="C43" s="85"/>
      <c r="D43" s="85"/>
      <c r="E43" s="85"/>
      <c r="F43" s="85"/>
      <c r="G43" s="85"/>
    </row>
    <row r="44" spans="1:7" ht="15">
      <c r="A44" s="23" t="s">
        <v>263</v>
      </c>
      <c r="B44" s="85"/>
      <c r="C44" s="85"/>
      <c r="D44" s="85"/>
      <c r="E44" s="85"/>
      <c r="F44" s="85"/>
      <c r="G44" s="85"/>
    </row>
    <row r="45" spans="1:7" ht="15">
      <c r="A45" s="115" t="s">
        <v>264</v>
      </c>
      <c r="B45" s="86">
        <v>9463964110</v>
      </c>
      <c r="C45" s="86">
        <v>226869995</v>
      </c>
      <c r="D45" s="86">
        <v>9690834105</v>
      </c>
      <c r="E45" s="86">
        <v>2361645697.61</v>
      </c>
      <c r="F45" s="86">
        <v>2361645697.61</v>
      </c>
      <c r="G45" s="86">
        <f>SUM(G46:G53)</f>
        <v>-7102318412.39</v>
      </c>
    </row>
    <row r="46" spans="1:7" ht="15">
      <c r="A46" s="36" t="s">
        <v>265</v>
      </c>
      <c r="B46" s="84">
        <v>4810685639</v>
      </c>
      <c r="C46" s="84">
        <v>0</v>
      </c>
      <c r="D46" s="84">
        <v>4810685639</v>
      </c>
      <c r="E46" s="84">
        <v>1086416798.41</v>
      </c>
      <c r="F46" s="84">
        <v>1086416798.41</v>
      </c>
      <c r="G46" s="84">
        <f aca="true" t="shared" si="3" ref="G46:G60">+F46-B46</f>
        <v>-3724268840.59</v>
      </c>
    </row>
    <row r="47" spans="1:7" ht="15">
      <c r="A47" s="36" t="s">
        <v>266</v>
      </c>
      <c r="B47" s="84">
        <v>1931714766</v>
      </c>
      <c r="C47" s="84">
        <v>0</v>
      </c>
      <c r="D47" s="84">
        <v>1931714766</v>
      </c>
      <c r="E47" s="84">
        <v>468674542.20000005</v>
      </c>
      <c r="F47" s="84">
        <v>468674542.20000005</v>
      </c>
      <c r="G47" s="84">
        <f t="shared" si="3"/>
        <v>-1463040223.8</v>
      </c>
    </row>
    <row r="48" spans="1:7" ht="15">
      <c r="A48" s="36" t="s">
        <v>267</v>
      </c>
      <c r="B48" s="84">
        <v>1023048035</v>
      </c>
      <c r="C48" s="84">
        <v>115644070</v>
      </c>
      <c r="D48" s="84">
        <v>1138692105</v>
      </c>
      <c r="E48" s="84">
        <v>341607630</v>
      </c>
      <c r="F48" s="84">
        <v>341607630</v>
      </c>
      <c r="G48" s="84">
        <f t="shared" si="3"/>
        <v>-681440405</v>
      </c>
    </row>
    <row r="49" spans="1:7" ht="30">
      <c r="A49" s="36" t="s">
        <v>268</v>
      </c>
      <c r="B49" s="84">
        <v>695402250</v>
      </c>
      <c r="C49" s="84">
        <v>423614</v>
      </c>
      <c r="D49" s="84">
        <v>695825864</v>
      </c>
      <c r="E49" s="84">
        <v>173956462</v>
      </c>
      <c r="F49" s="84">
        <v>173956462</v>
      </c>
      <c r="G49" s="84">
        <f t="shared" si="3"/>
        <v>-521445788</v>
      </c>
    </row>
    <row r="50" spans="1:7" ht="15">
      <c r="A50" s="36" t="s">
        <v>269</v>
      </c>
      <c r="B50" s="84">
        <v>428585214</v>
      </c>
      <c r="C50" s="84">
        <v>84892344</v>
      </c>
      <c r="D50" s="84">
        <v>513477558</v>
      </c>
      <c r="E50" s="84">
        <v>128369389</v>
      </c>
      <c r="F50" s="84">
        <v>128369389</v>
      </c>
      <c r="G50" s="84">
        <f t="shared" si="3"/>
        <v>-300215825</v>
      </c>
    </row>
    <row r="51" spans="1:7" ht="15">
      <c r="A51" s="36" t="s">
        <v>270</v>
      </c>
      <c r="B51" s="84">
        <v>121139894</v>
      </c>
      <c r="C51" s="84">
        <v>0</v>
      </c>
      <c r="D51" s="84">
        <v>121139894</v>
      </c>
      <c r="E51" s="84">
        <v>32989663</v>
      </c>
      <c r="F51" s="84">
        <v>32989663</v>
      </c>
      <c r="G51" s="84">
        <f t="shared" si="3"/>
        <v>-88150231</v>
      </c>
    </row>
    <row r="52" spans="1:7" ht="29.25" customHeight="1">
      <c r="A52" s="37" t="s">
        <v>271</v>
      </c>
      <c r="B52" s="84">
        <v>188952577</v>
      </c>
      <c r="C52" s="84">
        <v>7180198</v>
      </c>
      <c r="D52" s="84">
        <v>196132775</v>
      </c>
      <c r="E52" s="84">
        <v>58839834</v>
      </c>
      <c r="F52" s="84">
        <v>58839834</v>
      </c>
      <c r="G52" s="84">
        <f t="shared" si="3"/>
        <v>-130112743</v>
      </c>
    </row>
    <row r="53" spans="1:7" ht="27.75" customHeight="1">
      <c r="A53" s="36" t="s">
        <v>272</v>
      </c>
      <c r="B53" s="84">
        <v>264435735</v>
      </c>
      <c r="C53" s="84">
        <v>18729769</v>
      </c>
      <c r="D53" s="84">
        <v>283165504</v>
      </c>
      <c r="E53" s="84">
        <v>70791379</v>
      </c>
      <c r="F53" s="84">
        <v>70791379</v>
      </c>
      <c r="G53" s="84">
        <f t="shared" si="3"/>
        <v>-193644356</v>
      </c>
    </row>
    <row r="54" spans="1:7" ht="15">
      <c r="A54" s="115" t="s">
        <v>273</v>
      </c>
      <c r="B54" s="86">
        <v>1089529091</v>
      </c>
      <c r="C54" s="86">
        <v>667331857.63</v>
      </c>
      <c r="D54" s="86">
        <v>1756860948.63</v>
      </c>
      <c r="E54" s="86">
        <v>495870591.63</v>
      </c>
      <c r="F54" s="86">
        <v>495870591.63</v>
      </c>
      <c r="G54" s="86">
        <f>SUM(G55:G58)</f>
        <v>-593658499.37</v>
      </c>
    </row>
    <row r="55" spans="1:7" ht="15">
      <c r="A55" s="37" t="s">
        <v>274</v>
      </c>
      <c r="B55" s="84">
        <v>0</v>
      </c>
      <c r="C55" s="84">
        <v>0</v>
      </c>
      <c r="D55" s="84">
        <v>0</v>
      </c>
      <c r="E55" s="84">
        <v>0</v>
      </c>
      <c r="F55" s="84">
        <v>0</v>
      </c>
      <c r="G55" s="84">
        <f t="shared" si="3"/>
        <v>0</v>
      </c>
    </row>
    <row r="56" spans="1:7" ht="15">
      <c r="A56" s="36" t="s">
        <v>275</v>
      </c>
      <c r="B56" s="84">
        <v>1089529091</v>
      </c>
      <c r="C56" s="84">
        <v>667331857.63</v>
      </c>
      <c r="D56" s="84">
        <v>1756860948.63</v>
      </c>
      <c r="E56" s="84">
        <v>495870591.63</v>
      </c>
      <c r="F56" s="84">
        <v>495870591.63</v>
      </c>
      <c r="G56" s="84">
        <f t="shared" si="3"/>
        <v>-593658499.37</v>
      </c>
    </row>
    <row r="57" spans="1:7" ht="15">
      <c r="A57" s="36" t="s">
        <v>276</v>
      </c>
      <c r="B57" s="84">
        <v>0</v>
      </c>
      <c r="C57" s="84">
        <v>0</v>
      </c>
      <c r="D57" s="84">
        <v>0</v>
      </c>
      <c r="E57" s="84">
        <v>0</v>
      </c>
      <c r="F57" s="84">
        <v>0</v>
      </c>
      <c r="G57" s="84">
        <f t="shared" si="3"/>
        <v>0</v>
      </c>
    </row>
    <row r="58" spans="1:7" ht="15">
      <c r="A58" s="37" t="s">
        <v>277</v>
      </c>
      <c r="B58" s="84">
        <v>0</v>
      </c>
      <c r="C58" s="84">
        <v>0</v>
      </c>
      <c r="D58" s="84">
        <v>0</v>
      </c>
      <c r="E58" s="84">
        <v>0</v>
      </c>
      <c r="F58" s="84">
        <v>0</v>
      </c>
      <c r="G58" s="84">
        <f t="shared" si="3"/>
        <v>0</v>
      </c>
    </row>
    <row r="59" spans="1:7" ht="15">
      <c r="A59" s="115" t="s">
        <v>278</v>
      </c>
      <c r="B59" s="86">
        <v>488859820</v>
      </c>
      <c r="C59" s="86">
        <v>0</v>
      </c>
      <c r="D59" s="86">
        <v>488859820</v>
      </c>
      <c r="E59" s="86">
        <v>113643610</v>
      </c>
      <c r="F59" s="86">
        <v>113643610</v>
      </c>
      <c r="G59" s="86">
        <f>SUM(G60:G61)</f>
        <v>-375216210</v>
      </c>
    </row>
    <row r="60" spans="1:7" ht="30">
      <c r="A60" s="36" t="s">
        <v>279</v>
      </c>
      <c r="B60" s="84">
        <v>488859820</v>
      </c>
      <c r="C60" s="84"/>
      <c r="D60" s="84">
        <v>488859820</v>
      </c>
      <c r="E60" s="84">
        <v>113643610</v>
      </c>
      <c r="F60" s="84">
        <v>113643610</v>
      </c>
      <c r="G60" s="84">
        <f t="shared" si="3"/>
        <v>-375216210</v>
      </c>
    </row>
    <row r="61" spans="1:7" ht="15">
      <c r="A61" s="36" t="s">
        <v>280</v>
      </c>
      <c r="B61" s="84">
        <v>0</v>
      </c>
      <c r="C61" s="84">
        <v>0</v>
      </c>
      <c r="D61" s="84">
        <v>0</v>
      </c>
      <c r="E61" s="84">
        <v>0</v>
      </c>
      <c r="F61" s="84">
        <v>0</v>
      </c>
      <c r="G61" s="84">
        <v>0</v>
      </c>
    </row>
    <row r="62" spans="1:7" ht="15">
      <c r="A62" s="115" t="s">
        <v>281</v>
      </c>
      <c r="B62" s="86">
        <v>0</v>
      </c>
      <c r="C62" s="86">
        <v>0</v>
      </c>
      <c r="D62" s="86">
        <v>0</v>
      </c>
      <c r="E62" s="86">
        <v>0</v>
      </c>
      <c r="F62" s="86">
        <v>0</v>
      </c>
      <c r="G62" s="86">
        <f>F62-B62</f>
        <v>0</v>
      </c>
    </row>
    <row r="63" spans="1:7" ht="15">
      <c r="A63" s="115" t="s">
        <v>282</v>
      </c>
      <c r="B63" s="86">
        <v>0</v>
      </c>
      <c r="C63" s="86">
        <v>0</v>
      </c>
      <c r="D63" s="86">
        <v>0</v>
      </c>
      <c r="E63" s="86">
        <v>0</v>
      </c>
      <c r="F63" s="86">
        <v>0</v>
      </c>
      <c r="G63" s="86">
        <f>F63-B63</f>
        <v>0</v>
      </c>
    </row>
    <row r="64" spans="1:7" ht="15">
      <c r="A64" s="34"/>
      <c r="B64" s="85"/>
      <c r="C64" s="85"/>
      <c r="D64" s="85"/>
      <c r="E64" s="85"/>
      <c r="F64" s="85"/>
      <c r="G64" s="85"/>
    </row>
    <row r="65" spans="1:7" ht="15">
      <c r="A65" s="23" t="s">
        <v>283</v>
      </c>
      <c r="B65" s="86">
        <f aca="true" t="shared" si="4" ref="B65:G65">B45+B54+B59+B62+B63</f>
        <v>11042353021</v>
      </c>
      <c r="C65" s="86">
        <f t="shared" si="4"/>
        <v>894201852.63</v>
      </c>
      <c r="D65" s="86">
        <f t="shared" si="4"/>
        <v>11936554873.630001</v>
      </c>
      <c r="E65" s="86">
        <f t="shared" si="4"/>
        <v>2971159899.2400002</v>
      </c>
      <c r="F65" s="86">
        <f t="shared" si="4"/>
        <v>2971159899.2400002</v>
      </c>
      <c r="G65" s="86">
        <f t="shared" si="4"/>
        <v>-8071193121.76</v>
      </c>
    </row>
    <row r="66" spans="1:7" ht="15">
      <c r="A66" s="34"/>
      <c r="B66" s="85"/>
      <c r="C66" s="85"/>
      <c r="D66" s="85"/>
      <c r="E66" s="85"/>
      <c r="F66" s="85"/>
      <c r="G66" s="85"/>
    </row>
    <row r="67" spans="1:7" ht="15">
      <c r="A67" s="23" t="s">
        <v>284</v>
      </c>
      <c r="B67" s="86">
        <f aca="true" t="shared" si="5" ref="B67:G67">B68</f>
        <v>0</v>
      </c>
      <c r="C67" s="86">
        <f t="shared" si="5"/>
        <v>0</v>
      </c>
      <c r="D67" s="86">
        <f t="shared" si="5"/>
        <v>0</v>
      </c>
      <c r="E67" s="86">
        <f t="shared" si="5"/>
        <v>0</v>
      </c>
      <c r="F67" s="86">
        <f t="shared" si="5"/>
        <v>0</v>
      </c>
      <c r="G67" s="86">
        <f t="shared" si="5"/>
        <v>0</v>
      </c>
    </row>
    <row r="68" spans="1:7" ht="15">
      <c r="A68" s="20" t="s">
        <v>285</v>
      </c>
      <c r="B68" s="84">
        <v>0</v>
      </c>
      <c r="C68" s="84">
        <v>0</v>
      </c>
      <c r="D68" s="84">
        <f>+B68+C68</f>
        <v>0</v>
      </c>
      <c r="E68" s="84">
        <v>0</v>
      </c>
      <c r="F68" s="84">
        <v>0</v>
      </c>
      <c r="G68" s="84">
        <f>+F68-B68</f>
        <v>0</v>
      </c>
    </row>
    <row r="69" spans="1:7" ht="15">
      <c r="A69" s="34"/>
      <c r="B69" s="85"/>
      <c r="C69" s="85"/>
      <c r="D69" s="85"/>
      <c r="E69" s="85"/>
      <c r="F69" s="85"/>
      <c r="G69" s="85"/>
    </row>
    <row r="70" spans="1:7" ht="15">
      <c r="A70" s="23" t="s">
        <v>286</v>
      </c>
      <c r="B70" s="86">
        <f aca="true" t="shared" si="6" ref="B70:G70">B41+B65+B67</f>
        <v>22349942786</v>
      </c>
      <c r="C70" s="86">
        <f t="shared" si="6"/>
        <v>801032276.38</v>
      </c>
      <c r="D70" s="86">
        <f t="shared" si="6"/>
        <v>23150975062.38</v>
      </c>
      <c r="E70" s="86">
        <f t="shared" si="6"/>
        <v>6117282099.7</v>
      </c>
      <c r="F70" s="86">
        <f t="shared" si="6"/>
        <v>6117274957.7</v>
      </c>
      <c r="G70" s="86">
        <f t="shared" si="6"/>
        <v>-16232667828.3</v>
      </c>
    </row>
    <row r="71" spans="1:7" ht="15">
      <c r="A71" s="34"/>
      <c r="B71" s="85"/>
      <c r="C71" s="85"/>
      <c r="D71" s="85"/>
      <c r="E71" s="85"/>
      <c r="F71" s="85"/>
      <c r="G71" s="85"/>
    </row>
    <row r="72" spans="1:7" ht="15">
      <c r="A72" s="23" t="s">
        <v>287</v>
      </c>
      <c r="B72" s="85"/>
      <c r="C72" s="85"/>
      <c r="D72" s="85"/>
      <c r="E72" s="85"/>
      <c r="F72" s="85"/>
      <c r="G72" s="85"/>
    </row>
    <row r="73" spans="1:7" ht="30">
      <c r="A73" s="43" t="s">
        <v>288</v>
      </c>
      <c r="B73" s="84">
        <v>0</v>
      </c>
      <c r="C73" s="84">
        <v>0</v>
      </c>
      <c r="D73" s="84">
        <v>0</v>
      </c>
      <c r="E73" s="84">
        <v>0</v>
      </c>
      <c r="F73" s="84">
        <v>0</v>
      </c>
      <c r="G73" s="84">
        <f>F73-B73</f>
        <v>0</v>
      </c>
    </row>
    <row r="74" spans="1:7" ht="30">
      <c r="A74" s="43" t="s">
        <v>289</v>
      </c>
      <c r="B74" s="84">
        <v>0</v>
      </c>
      <c r="C74" s="84">
        <v>0</v>
      </c>
      <c r="D74" s="84">
        <v>0</v>
      </c>
      <c r="E74" s="84">
        <v>0</v>
      </c>
      <c r="F74" s="84">
        <v>0</v>
      </c>
      <c r="G74" s="84">
        <f>F74-B74</f>
        <v>0</v>
      </c>
    </row>
    <row r="75" spans="1:7" ht="15">
      <c r="A75" s="44" t="s">
        <v>290</v>
      </c>
      <c r="B75" s="86">
        <f aca="true" t="shared" si="7" ref="B75:G75">B73+B74</f>
        <v>0</v>
      </c>
      <c r="C75" s="86">
        <f t="shared" si="7"/>
        <v>0</v>
      </c>
      <c r="D75" s="86">
        <f t="shared" si="7"/>
        <v>0</v>
      </c>
      <c r="E75" s="86">
        <f t="shared" si="7"/>
        <v>0</v>
      </c>
      <c r="F75" s="86">
        <f t="shared" si="7"/>
        <v>0</v>
      </c>
      <c r="G75" s="86">
        <f t="shared" si="7"/>
        <v>0</v>
      </c>
    </row>
    <row r="76" spans="1:7" ht="15">
      <c r="A76" s="35"/>
      <c r="B76" s="42"/>
      <c r="C76" s="42"/>
      <c r="D76" s="42"/>
      <c r="E76" s="42"/>
      <c r="F76" s="42"/>
      <c r="G76" s="42"/>
    </row>
    <row r="77" ht="15"/>
  </sheetData>
  <sheetProtection/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5511811023622047" header="0.31496062992125984" footer="0.31496062992125984"/>
  <pageSetup fitToHeight="1" fitToWidth="1" horizontalDpi="600" verticalDpi="600" orientation="portrait" scale="47" r:id="rId1"/>
  <ignoredErrors>
    <ignoredError sqref="B41:F41 G45 B65:G65 B67:F67 B70:G70 B75:G75 G67:G68 G73:G74 G62:G63 G35:G36 G38:G39 G41:G42 D68 G9:G15 G17:G27 G29:G33 G46:G53 G55:G58 G60" unlockedFormula="1"/>
    <ignoredError sqref="G54 G40 G37 G34 G28 G59 G16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0"/>
  <sheetViews>
    <sheetView zoomScale="80" zoomScaleNormal="80" zoomScalePageLayoutView="0" workbookViewId="0" topLeftCell="A1">
      <selection activeCell="A6" sqref="A6:G6"/>
    </sheetView>
  </sheetViews>
  <sheetFormatPr defaultColWidth="0.71875" defaultRowHeight="15" zeroHeight="1"/>
  <cols>
    <col min="1" max="1" width="102.8515625" style="0" customWidth="1"/>
    <col min="2" max="6" width="20.7109375" style="0" customWidth="1"/>
    <col min="7" max="7" width="17.57421875" style="0" customWidth="1"/>
    <col min="8" max="255" width="11.421875" style="0" hidden="1" customWidth="1"/>
  </cols>
  <sheetData>
    <row r="1" spans="1:7" ht="21">
      <c r="A1" s="157" t="s">
        <v>292</v>
      </c>
      <c r="B1" s="154"/>
      <c r="C1" s="154"/>
      <c r="D1" s="154"/>
      <c r="E1" s="154"/>
      <c r="F1" s="154"/>
      <c r="G1" s="154"/>
    </row>
    <row r="2" spans="1:7" ht="15">
      <c r="A2" s="158" t="s">
        <v>291</v>
      </c>
      <c r="B2" s="158"/>
      <c r="C2" s="158"/>
      <c r="D2" s="158"/>
      <c r="E2" s="158"/>
      <c r="F2" s="158"/>
      <c r="G2" s="158"/>
    </row>
    <row r="3" spans="1:7" ht="15">
      <c r="A3" s="159" t="s">
        <v>293</v>
      </c>
      <c r="B3" s="159"/>
      <c r="C3" s="159"/>
      <c r="D3" s="159"/>
      <c r="E3" s="159"/>
      <c r="F3" s="159"/>
      <c r="G3" s="159"/>
    </row>
    <row r="4" spans="1:7" ht="15">
      <c r="A4" s="159" t="s">
        <v>294</v>
      </c>
      <c r="B4" s="159"/>
      <c r="C4" s="159"/>
      <c r="D4" s="159"/>
      <c r="E4" s="159"/>
      <c r="F4" s="159"/>
      <c r="G4" s="159"/>
    </row>
    <row r="5" spans="1:7" ht="15">
      <c r="A5" s="141" t="s">
        <v>470</v>
      </c>
      <c r="B5" s="142"/>
      <c r="C5" s="142"/>
      <c r="D5" s="142"/>
      <c r="E5" s="142"/>
      <c r="F5" s="142"/>
      <c r="G5" s="143"/>
    </row>
    <row r="6" spans="1:7" ht="15">
      <c r="A6" s="152" t="s">
        <v>2</v>
      </c>
      <c r="B6" s="152"/>
      <c r="C6" s="152"/>
      <c r="D6" s="152"/>
      <c r="E6" s="152"/>
      <c r="F6" s="152"/>
      <c r="G6" s="152"/>
    </row>
    <row r="7" spans="1:7" ht="15">
      <c r="A7" s="155" t="s">
        <v>4</v>
      </c>
      <c r="B7" s="155" t="s">
        <v>295</v>
      </c>
      <c r="C7" s="155"/>
      <c r="D7" s="155"/>
      <c r="E7" s="155"/>
      <c r="F7" s="155"/>
      <c r="G7" s="156" t="s">
        <v>296</v>
      </c>
    </row>
    <row r="8" spans="1:7" ht="30">
      <c r="A8" s="155"/>
      <c r="B8" s="6" t="s">
        <v>297</v>
      </c>
      <c r="C8" s="6" t="s">
        <v>298</v>
      </c>
      <c r="D8" s="6" t="s">
        <v>299</v>
      </c>
      <c r="E8" s="6" t="s">
        <v>182</v>
      </c>
      <c r="F8" s="6" t="s">
        <v>300</v>
      </c>
      <c r="G8" s="155"/>
    </row>
    <row r="9" spans="1:7" ht="15">
      <c r="A9" s="19" t="s">
        <v>301</v>
      </c>
      <c r="B9" s="86">
        <f aca="true" t="shared" si="0" ref="B9:G9">SUM(B10,B18,B28,B38,B48,B58,B62,B70,B74)</f>
        <v>11307589765</v>
      </c>
      <c r="C9" s="86">
        <f t="shared" si="0"/>
        <v>80966445.06</v>
      </c>
      <c r="D9" s="86">
        <f t="shared" si="0"/>
        <v>11388556210.060001</v>
      </c>
      <c r="E9" s="86">
        <f t="shared" si="0"/>
        <v>2193751589.2900004</v>
      </c>
      <c r="F9" s="86">
        <f t="shared" si="0"/>
        <v>2184016349.6900005</v>
      </c>
      <c r="G9" s="86">
        <f t="shared" si="0"/>
        <v>9194804620.77</v>
      </c>
    </row>
    <row r="10" spans="1:7" ht="15">
      <c r="A10" s="20" t="s">
        <v>302</v>
      </c>
      <c r="B10" s="84">
        <f aca="true" t="shared" si="1" ref="B10:G10">SUM(B11:B17)</f>
        <v>2303008432</v>
      </c>
      <c r="C10" s="84">
        <f t="shared" si="1"/>
        <v>3235148.6100000003</v>
      </c>
      <c r="D10" s="84">
        <f t="shared" si="1"/>
        <v>2306243580.61</v>
      </c>
      <c r="E10" s="84">
        <f t="shared" si="1"/>
        <v>440445201.32000005</v>
      </c>
      <c r="F10" s="84">
        <f t="shared" si="1"/>
        <v>440445201.32000005</v>
      </c>
      <c r="G10" s="84">
        <f t="shared" si="1"/>
        <v>1865798379.2900002</v>
      </c>
    </row>
    <row r="11" spans="1:7" ht="15">
      <c r="A11" s="21" t="s">
        <v>303</v>
      </c>
      <c r="B11" s="84">
        <v>1140008315</v>
      </c>
      <c r="C11" s="84">
        <v>-3232816.61</v>
      </c>
      <c r="D11" s="84">
        <v>1136775498.39</v>
      </c>
      <c r="E11" s="84">
        <v>267759861.02</v>
      </c>
      <c r="F11" s="84">
        <v>267759861.02</v>
      </c>
      <c r="G11" s="84">
        <f aca="true" t="shared" si="2" ref="G11:G17">D11-E11</f>
        <v>869015637.3700001</v>
      </c>
    </row>
    <row r="12" spans="1:7" ht="15">
      <c r="A12" s="21" t="s">
        <v>304</v>
      </c>
      <c r="B12" s="84">
        <v>69219841</v>
      </c>
      <c r="C12" s="84">
        <v>3904903.41</v>
      </c>
      <c r="D12" s="84">
        <v>73124744.41</v>
      </c>
      <c r="E12" s="84">
        <v>14760403.63</v>
      </c>
      <c r="F12" s="84">
        <v>14760403.63</v>
      </c>
      <c r="G12" s="84">
        <f t="shared" si="2"/>
        <v>58364340.779999994</v>
      </c>
    </row>
    <row r="13" spans="1:7" ht="15">
      <c r="A13" s="21" t="s">
        <v>305</v>
      </c>
      <c r="B13" s="84">
        <v>544951706</v>
      </c>
      <c r="C13" s="84">
        <v>363207.67</v>
      </c>
      <c r="D13" s="84">
        <v>545314913.67</v>
      </c>
      <c r="E13" s="84">
        <v>54231779</v>
      </c>
      <c r="F13" s="84">
        <v>54231779</v>
      </c>
      <c r="G13" s="84">
        <f t="shared" si="2"/>
        <v>491083134.66999996</v>
      </c>
    </row>
    <row r="14" spans="1:7" ht="15">
      <c r="A14" s="21" t="s">
        <v>306</v>
      </c>
      <c r="B14" s="84">
        <v>543487249</v>
      </c>
      <c r="C14" s="84">
        <v>-114376.84</v>
      </c>
      <c r="D14" s="84">
        <v>543372872.16</v>
      </c>
      <c r="E14" s="84">
        <v>101528926.69</v>
      </c>
      <c r="F14" s="84">
        <v>101528926.69</v>
      </c>
      <c r="G14" s="84">
        <f t="shared" si="2"/>
        <v>441843945.46999997</v>
      </c>
    </row>
    <row r="15" spans="1:7" ht="15">
      <c r="A15" s="21" t="s">
        <v>307</v>
      </c>
      <c r="B15" s="84">
        <v>0</v>
      </c>
      <c r="C15" s="84">
        <v>2164230.98</v>
      </c>
      <c r="D15" s="84">
        <v>2164230.98</v>
      </c>
      <c r="E15" s="84">
        <v>2164230.98</v>
      </c>
      <c r="F15" s="84">
        <v>2164230.98</v>
      </c>
      <c r="G15" s="84">
        <f t="shared" si="2"/>
        <v>0</v>
      </c>
    </row>
    <row r="16" spans="1:7" ht="15">
      <c r="A16" s="21" t="s">
        <v>308</v>
      </c>
      <c r="B16" s="84">
        <v>5341321</v>
      </c>
      <c r="C16" s="84">
        <v>0</v>
      </c>
      <c r="D16" s="84">
        <v>5341321</v>
      </c>
      <c r="E16" s="84">
        <v>0</v>
      </c>
      <c r="F16" s="84">
        <v>0</v>
      </c>
      <c r="G16" s="84">
        <f t="shared" si="2"/>
        <v>5341321</v>
      </c>
    </row>
    <row r="17" spans="1:7" ht="15">
      <c r="A17" s="21" t="s">
        <v>309</v>
      </c>
      <c r="B17" s="84">
        <v>0</v>
      </c>
      <c r="C17" s="84">
        <v>150000</v>
      </c>
      <c r="D17" s="84">
        <v>150000</v>
      </c>
      <c r="E17" s="84">
        <v>0</v>
      </c>
      <c r="F17" s="84">
        <v>0</v>
      </c>
      <c r="G17" s="84">
        <f t="shared" si="2"/>
        <v>150000</v>
      </c>
    </row>
    <row r="18" spans="1:7" ht="15">
      <c r="A18" s="20" t="s">
        <v>310</v>
      </c>
      <c r="B18" s="84">
        <f aca="true" t="shared" si="3" ref="B18:G18">SUM(B19:B27)</f>
        <v>500393932</v>
      </c>
      <c r="C18" s="84">
        <f t="shared" si="3"/>
        <v>-5186270.07</v>
      </c>
      <c r="D18" s="84">
        <f t="shared" si="3"/>
        <v>495207661.93</v>
      </c>
      <c r="E18" s="84">
        <f t="shared" si="3"/>
        <v>15261553.680000002</v>
      </c>
      <c r="F18" s="84">
        <f t="shared" si="3"/>
        <v>12938329.97</v>
      </c>
      <c r="G18" s="84">
        <f t="shared" si="3"/>
        <v>479946108.25</v>
      </c>
    </row>
    <row r="19" spans="1:7" ht="15">
      <c r="A19" s="21" t="s">
        <v>311</v>
      </c>
      <c r="B19" s="84">
        <v>165024083</v>
      </c>
      <c r="C19" s="84">
        <v>1205207.81</v>
      </c>
      <c r="D19" s="84">
        <v>166229290.81</v>
      </c>
      <c r="E19" s="84">
        <v>1758172.04</v>
      </c>
      <c r="F19" s="84">
        <v>1640235.45</v>
      </c>
      <c r="G19" s="84">
        <f>D19-E19</f>
        <v>164471118.77</v>
      </c>
    </row>
    <row r="20" spans="1:7" ht="15">
      <c r="A20" s="21" t="s">
        <v>312</v>
      </c>
      <c r="B20" s="84">
        <v>72526512</v>
      </c>
      <c r="C20" s="84">
        <v>-72211.12</v>
      </c>
      <c r="D20" s="84">
        <v>72454300.88</v>
      </c>
      <c r="E20" s="84">
        <v>6493569.86</v>
      </c>
      <c r="F20" s="84">
        <v>4669164.2</v>
      </c>
      <c r="G20" s="84">
        <f aca="true" t="shared" si="4" ref="G20:G27">D20-E20</f>
        <v>65960731.019999996</v>
      </c>
    </row>
    <row r="21" spans="1:7" ht="15">
      <c r="A21" s="21" t="s">
        <v>313</v>
      </c>
      <c r="B21" s="84">
        <v>6475</v>
      </c>
      <c r="C21" s="84">
        <v>-1830</v>
      </c>
      <c r="D21" s="84">
        <v>4645</v>
      </c>
      <c r="E21" s="84">
        <v>0</v>
      </c>
      <c r="F21" s="84">
        <v>0</v>
      </c>
      <c r="G21" s="84">
        <f t="shared" si="4"/>
        <v>4645</v>
      </c>
    </row>
    <row r="22" spans="1:7" ht="15">
      <c r="A22" s="21" t="s">
        <v>314</v>
      </c>
      <c r="B22" s="84">
        <v>9520468</v>
      </c>
      <c r="C22" s="84">
        <v>-87957.59</v>
      </c>
      <c r="D22" s="84">
        <v>9432510.41</v>
      </c>
      <c r="E22" s="84">
        <v>196576.56</v>
      </c>
      <c r="F22" s="84">
        <v>188216.71</v>
      </c>
      <c r="G22" s="84">
        <f t="shared" si="4"/>
        <v>9235933.85</v>
      </c>
    </row>
    <row r="23" spans="1:7" ht="15">
      <c r="A23" s="21" t="s">
        <v>315</v>
      </c>
      <c r="B23" s="84">
        <v>72999890</v>
      </c>
      <c r="C23" s="84">
        <v>-765728.1</v>
      </c>
      <c r="D23" s="84">
        <v>72234161.9</v>
      </c>
      <c r="E23" s="84">
        <v>4011068.55</v>
      </c>
      <c r="F23" s="84">
        <v>4010186.01</v>
      </c>
      <c r="G23" s="84">
        <f t="shared" si="4"/>
        <v>68223093.35000001</v>
      </c>
    </row>
    <row r="24" spans="1:7" ht="15">
      <c r="A24" s="21" t="s">
        <v>316</v>
      </c>
      <c r="B24" s="84">
        <v>148428571</v>
      </c>
      <c r="C24" s="84">
        <v>-1048615.6</v>
      </c>
      <c r="D24" s="84">
        <v>147379955.4</v>
      </c>
      <c r="E24" s="84">
        <v>355591.01</v>
      </c>
      <c r="F24" s="84">
        <v>330298.52</v>
      </c>
      <c r="G24" s="84">
        <f t="shared" si="4"/>
        <v>147024364.39000002</v>
      </c>
    </row>
    <row r="25" spans="1:7" ht="15">
      <c r="A25" s="21" t="s">
        <v>317</v>
      </c>
      <c r="B25" s="84">
        <v>12685683</v>
      </c>
      <c r="C25" s="84">
        <v>-4711956.13</v>
      </c>
      <c r="D25" s="84">
        <v>7973726.87</v>
      </c>
      <c r="E25" s="84">
        <v>936189.59</v>
      </c>
      <c r="F25" s="84">
        <v>935789.58</v>
      </c>
      <c r="G25" s="84">
        <f t="shared" si="4"/>
        <v>7037537.28</v>
      </c>
    </row>
    <row r="26" spans="1:7" ht="15">
      <c r="A26" s="21" t="s">
        <v>318</v>
      </c>
      <c r="B26" s="84">
        <v>812690</v>
      </c>
      <c r="C26" s="84">
        <v>-119260.51</v>
      </c>
      <c r="D26" s="84">
        <v>693429.49</v>
      </c>
      <c r="E26" s="84">
        <v>539.49</v>
      </c>
      <c r="F26" s="84">
        <v>539.49</v>
      </c>
      <c r="G26" s="84">
        <f t="shared" si="4"/>
        <v>692890</v>
      </c>
    </row>
    <row r="27" spans="1:7" ht="15">
      <c r="A27" s="21" t="s">
        <v>319</v>
      </c>
      <c r="B27" s="84">
        <v>18389560</v>
      </c>
      <c r="C27" s="84">
        <v>416081.17</v>
      </c>
      <c r="D27" s="84">
        <v>18805641.17</v>
      </c>
      <c r="E27" s="84">
        <v>1509846.58</v>
      </c>
      <c r="F27" s="84">
        <v>1163900.01</v>
      </c>
      <c r="G27" s="84">
        <f t="shared" si="4"/>
        <v>17295794.590000004</v>
      </c>
    </row>
    <row r="28" spans="1:7" ht="15">
      <c r="A28" s="20" t="s">
        <v>320</v>
      </c>
      <c r="B28" s="84">
        <f aca="true" t="shared" si="5" ref="B28:G28">SUM(B29:B37)</f>
        <v>864772418</v>
      </c>
      <c r="C28" s="84">
        <f t="shared" si="5"/>
        <v>14461971.930000002</v>
      </c>
      <c r="D28" s="84">
        <f t="shared" si="5"/>
        <v>879234389.93</v>
      </c>
      <c r="E28" s="84">
        <f t="shared" si="5"/>
        <v>78384112.11</v>
      </c>
      <c r="F28" s="84">
        <f t="shared" si="5"/>
        <v>71793017.12</v>
      </c>
      <c r="G28" s="84">
        <f t="shared" si="5"/>
        <v>800850277.8199999</v>
      </c>
    </row>
    <row r="29" spans="1:7" ht="15">
      <c r="A29" s="21" t="s">
        <v>321</v>
      </c>
      <c r="B29" s="84">
        <v>66653529</v>
      </c>
      <c r="C29" s="84">
        <v>308286.32</v>
      </c>
      <c r="D29" s="84">
        <v>66961815.32</v>
      </c>
      <c r="E29" s="84">
        <v>10995328.2</v>
      </c>
      <c r="F29" s="84">
        <v>10992341.38</v>
      </c>
      <c r="G29" s="84">
        <f>D29-E29</f>
        <v>55966487.120000005</v>
      </c>
    </row>
    <row r="30" spans="1:7" ht="15">
      <c r="A30" s="21" t="s">
        <v>322</v>
      </c>
      <c r="B30" s="84">
        <v>125579607</v>
      </c>
      <c r="C30" s="84">
        <v>-6618.11</v>
      </c>
      <c r="D30" s="84">
        <v>125572988.89</v>
      </c>
      <c r="E30" s="84">
        <v>2234432.2</v>
      </c>
      <c r="F30" s="84">
        <v>2163014.84</v>
      </c>
      <c r="G30" s="84">
        <f aca="true" t="shared" si="6" ref="G30:G37">D30-E30</f>
        <v>123338556.69</v>
      </c>
    </row>
    <row r="31" spans="1:7" ht="15">
      <c r="A31" s="21" t="s">
        <v>323</v>
      </c>
      <c r="B31" s="84">
        <v>171908044</v>
      </c>
      <c r="C31" s="84">
        <v>-5198243.8</v>
      </c>
      <c r="D31" s="84">
        <v>166709800.2</v>
      </c>
      <c r="E31" s="84">
        <v>19093174.22</v>
      </c>
      <c r="F31" s="84">
        <v>17324177.74</v>
      </c>
      <c r="G31" s="84">
        <f t="shared" si="6"/>
        <v>147616625.98</v>
      </c>
    </row>
    <row r="32" spans="1:7" ht="15">
      <c r="A32" s="21" t="s">
        <v>324</v>
      </c>
      <c r="B32" s="84">
        <v>70211633</v>
      </c>
      <c r="C32" s="84">
        <v>1854676.7</v>
      </c>
      <c r="D32" s="84">
        <v>72066309.7</v>
      </c>
      <c r="E32" s="84">
        <v>6950513.31</v>
      </c>
      <c r="F32" s="84">
        <v>6950513.31</v>
      </c>
      <c r="G32" s="84">
        <f t="shared" si="6"/>
        <v>65115796.39</v>
      </c>
    </row>
    <row r="33" spans="1:7" ht="15">
      <c r="A33" s="21" t="s">
        <v>325</v>
      </c>
      <c r="B33" s="84">
        <v>125030186</v>
      </c>
      <c r="C33" s="84">
        <v>-1523467.09</v>
      </c>
      <c r="D33" s="84">
        <v>123506718.91</v>
      </c>
      <c r="E33" s="84">
        <v>1757635.01</v>
      </c>
      <c r="F33" s="84">
        <v>1628911.46</v>
      </c>
      <c r="G33" s="84">
        <f t="shared" si="6"/>
        <v>121749083.89999999</v>
      </c>
    </row>
    <row r="34" spans="1:7" ht="15">
      <c r="A34" s="21" t="s">
        <v>326</v>
      </c>
      <c r="B34" s="84">
        <v>93411959</v>
      </c>
      <c r="C34" s="84">
        <v>15108755.56</v>
      </c>
      <c r="D34" s="84">
        <v>108520714.56</v>
      </c>
      <c r="E34" s="84">
        <v>14527707.55</v>
      </c>
      <c r="F34" s="84">
        <v>14522197.55</v>
      </c>
      <c r="G34" s="84">
        <f t="shared" si="6"/>
        <v>93993007.01</v>
      </c>
    </row>
    <row r="35" spans="1:7" ht="15">
      <c r="A35" s="21" t="s">
        <v>327</v>
      </c>
      <c r="B35" s="84">
        <v>17350403</v>
      </c>
      <c r="C35" s="84">
        <v>142976.61</v>
      </c>
      <c r="D35" s="84">
        <v>17493379.61</v>
      </c>
      <c r="E35" s="84">
        <v>2305987.45</v>
      </c>
      <c r="F35" s="84">
        <v>1875575.77</v>
      </c>
      <c r="G35" s="84">
        <f t="shared" si="6"/>
        <v>15187392.16</v>
      </c>
    </row>
    <row r="36" spans="1:7" ht="15">
      <c r="A36" s="21" t="s">
        <v>328</v>
      </c>
      <c r="B36" s="84">
        <v>63996768</v>
      </c>
      <c r="C36" s="84">
        <v>3465351.27</v>
      </c>
      <c r="D36" s="84">
        <v>67462119.27</v>
      </c>
      <c r="E36" s="84">
        <v>3623049.3</v>
      </c>
      <c r="F36" s="84">
        <v>3541589.3</v>
      </c>
      <c r="G36" s="84">
        <f t="shared" si="6"/>
        <v>63839069.97</v>
      </c>
    </row>
    <row r="37" spans="1:7" ht="15">
      <c r="A37" s="21" t="s">
        <v>329</v>
      </c>
      <c r="B37" s="84">
        <v>130630289</v>
      </c>
      <c r="C37" s="84">
        <v>310254.47</v>
      </c>
      <c r="D37" s="84">
        <v>130940543.47</v>
      </c>
      <c r="E37" s="84">
        <v>16896284.87</v>
      </c>
      <c r="F37" s="84">
        <v>12794695.77</v>
      </c>
      <c r="G37" s="84">
        <f t="shared" si="6"/>
        <v>114044258.6</v>
      </c>
    </row>
    <row r="38" spans="1:7" ht="15">
      <c r="A38" s="20" t="s">
        <v>330</v>
      </c>
      <c r="B38" s="84">
        <f aca="true" t="shared" si="7" ref="B38:G38">SUM(B39:B47)</f>
        <v>4104301129</v>
      </c>
      <c r="C38" s="84">
        <f t="shared" si="7"/>
        <v>7485369.470000001</v>
      </c>
      <c r="D38" s="84">
        <f t="shared" si="7"/>
        <v>4111786498.4700003</v>
      </c>
      <c r="E38" s="84">
        <f t="shared" si="7"/>
        <v>855123454.5500001</v>
      </c>
      <c r="F38" s="84">
        <f t="shared" si="7"/>
        <v>854302533.6500001</v>
      </c>
      <c r="G38" s="84">
        <f t="shared" si="7"/>
        <v>3256663043.92</v>
      </c>
    </row>
    <row r="39" spans="1:7" ht="15">
      <c r="A39" s="21" t="s">
        <v>331</v>
      </c>
      <c r="B39" s="84">
        <v>896925990</v>
      </c>
      <c r="C39" s="84">
        <v>5730282.79</v>
      </c>
      <c r="D39" s="84">
        <v>902656272.79</v>
      </c>
      <c r="E39" s="84">
        <v>222005187.98</v>
      </c>
      <c r="F39" s="84">
        <v>222005187.98</v>
      </c>
      <c r="G39" s="84">
        <f>D39-E39</f>
        <v>680651084.81</v>
      </c>
    </row>
    <row r="40" spans="1:7" ht="15">
      <c r="A40" s="21" t="s">
        <v>332</v>
      </c>
      <c r="B40" s="84">
        <v>2700654341</v>
      </c>
      <c r="C40" s="84">
        <v>-1129374.06</v>
      </c>
      <c r="D40" s="84">
        <v>2699524966.94</v>
      </c>
      <c r="E40" s="84">
        <v>595649052.24</v>
      </c>
      <c r="F40" s="84">
        <v>594828131.34</v>
      </c>
      <c r="G40" s="84">
        <f aca="true" t="shared" si="8" ref="G40:G47">D40-E40</f>
        <v>2103875914.7</v>
      </c>
    </row>
    <row r="41" spans="1:7" ht="15">
      <c r="A41" s="21" t="s">
        <v>333</v>
      </c>
      <c r="B41" s="84">
        <v>72000000</v>
      </c>
      <c r="C41" s="84">
        <v>0</v>
      </c>
      <c r="D41" s="84">
        <v>72000000</v>
      </c>
      <c r="E41" s="84">
        <v>0</v>
      </c>
      <c r="F41" s="84">
        <v>0</v>
      </c>
      <c r="G41" s="84">
        <f t="shared" si="8"/>
        <v>72000000</v>
      </c>
    </row>
    <row r="42" spans="1:7" ht="15">
      <c r="A42" s="21" t="s">
        <v>334</v>
      </c>
      <c r="B42" s="84">
        <v>386561258</v>
      </c>
      <c r="C42" s="84">
        <v>2884460.74</v>
      </c>
      <c r="D42" s="84">
        <v>389445718.74</v>
      </c>
      <c r="E42" s="84">
        <v>27979214.33</v>
      </c>
      <c r="F42" s="84">
        <v>27979214.33</v>
      </c>
      <c r="G42" s="84">
        <f t="shared" si="8"/>
        <v>361466504.41</v>
      </c>
    </row>
    <row r="43" spans="1:7" ht="15">
      <c r="A43" s="21" t="s">
        <v>335</v>
      </c>
      <c r="B43" s="84">
        <v>0</v>
      </c>
      <c r="C43" s="84">
        <v>0</v>
      </c>
      <c r="D43" s="84">
        <v>0</v>
      </c>
      <c r="E43" s="84">
        <v>0</v>
      </c>
      <c r="F43" s="84">
        <v>0</v>
      </c>
      <c r="G43" s="84">
        <f t="shared" si="8"/>
        <v>0</v>
      </c>
    </row>
    <row r="44" spans="1:7" ht="15">
      <c r="A44" s="21" t="s">
        <v>336</v>
      </c>
      <c r="B44" s="84">
        <v>47151000</v>
      </c>
      <c r="C44" s="84">
        <v>0</v>
      </c>
      <c r="D44" s="84">
        <v>47151000</v>
      </c>
      <c r="E44" s="84">
        <v>9490000</v>
      </c>
      <c r="F44" s="84">
        <v>9490000</v>
      </c>
      <c r="G44" s="84">
        <f t="shared" si="8"/>
        <v>37661000</v>
      </c>
    </row>
    <row r="45" spans="1:7" ht="15">
      <c r="A45" s="21" t="s">
        <v>337</v>
      </c>
      <c r="B45" s="84">
        <v>1008540</v>
      </c>
      <c r="C45" s="84">
        <v>0</v>
      </c>
      <c r="D45" s="84">
        <v>1008540</v>
      </c>
      <c r="E45" s="84">
        <v>0</v>
      </c>
      <c r="F45" s="84">
        <v>0</v>
      </c>
      <c r="G45" s="84">
        <f t="shared" si="8"/>
        <v>1008540</v>
      </c>
    </row>
    <row r="46" spans="1:7" ht="15">
      <c r="A46" s="21" t="s">
        <v>338</v>
      </c>
      <c r="B46" s="84">
        <v>0</v>
      </c>
      <c r="C46" s="84">
        <v>0</v>
      </c>
      <c r="D46" s="84">
        <v>0</v>
      </c>
      <c r="E46" s="84">
        <v>0</v>
      </c>
      <c r="F46" s="84">
        <v>0</v>
      </c>
      <c r="G46" s="84">
        <f t="shared" si="8"/>
        <v>0</v>
      </c>
    </row>
    <row r="47" spans="1:7" ht="15">
      <c r="A47" s="21" t="s">
        <v>339</v>
      </c>
      <c r="B47" s="84">
        <v>0</v>
      </c>
      <c r="C47" s="84">
        <v>0</v>
      </c>
      <c r="D47" s="84">
        <v>0</v>
      </c>
      <c r="E47" s="84">
        <v>0</v>
      </c>
      <c r="F47" s="84">
        <v>0</v>
      </c>
      <c r="G47" s="84">
        <f t="shared" si="8"/>
        <v>0</v>
      </c>
    </row>
    <row r="48" spans="1:7" ht="15">
      <c r="A48" s="20" t="s">
        <v>340</v>
      </c>
      <c r="B48" s="84">
        <f aca="true" t="shared" si="9" ref="B48:G48">SUM(B49:B57)</f>
        <v>17420029</v>
      </c>
      <c r="C48" s="84">
        <f t="shared" si="9"/>
        <v>6715018.72</v>
      </c>
      <c r="D48" s="84">
        <f t="shared" si="9"/>
        <v>24135047.72</v>
      </c>
      <c r="E48" s="84">
        <f t="shared" si="9"/>
        <v>1636639.9000000001</v>
      </c>
      <c r="F48" s="84">
        <f t="shared" si="9"/>
        <v>1636639.9000000001</v>
      </c>
      <c r="G48" s="84">
        <f t="shared" si="9"/>
        <v>22498407.82</v>
      </c>
    </row>
    <row r="49" spans="1:7" ht="15">
      <c r="A49" s="21" t="s">
        <v>341</v>
      </c>
      <c r="B49" s="84">
        <v>14487053</v>
      </c>
      <c r="C49" s="84">
        <v>826752.61</v>
      </c>
      <c r="D49" s="84">
        <v>15313805.61</v>
      </c>
      <c r="E49" s="84">
        <v>90705.45</v>
      </c>
      <c r="F49" s="84">
        <v>90705.45</v>
      </c>
      <c r="G49" s="84">
        <f>D49-E49</f>
        <v>15223100.16</v>
      </c>
    </row>
    <row r="50" spans="1:7" ht="15">
      <c r="A50" s="21" t="s">
        <v>342</v>
      </c>
      <c r="B50" s="84">
        <v>159477</v>
      </c>
      <c r="C50" s="84">
        <v>66123.07</v>
      </c>
      <c r="D50" s="84">
        <v>225600.07</v>
      </c>
      <c r="E50" s="84">
        <v>35493.41</v>
      </c>
      <c r="F50" s="84">
        <v>35493.41</v>
      </c>
      <c r="G50" s="84">
        <f aca="true" t="shared" si="10" ref="G50:G57">D50-E50</f>
        <v>190106.66</v>
      </c>
    </row>
    <row r="51" spans="1:7" ht="15">
      <c r="A51" s="21" t="s">
        <v>343</v>
      </c>
      <c r="B51" s="84">
        <v>23500</v>
      </c>
      <c r="C51" s="84">
        <v>0</v>
      </c>
      <c r="D51" s="84">
        <v>23500</v>
      </c>
      <c r="E51" s="84">
        <v>0</v>
      </c>
      <c r="F51" s="84">
        <v>0</v>
      </c>
      <c r="G51" s="84">
        <f t="shared" si="10"/>
        <v>23500</v>
      </c>
    </row>
    <row r="52" spans="1:7" ht="15">
      <c r="A52" s="21" t="s">
        <v>344</v>
      </c>
      <c r="B52" s="84">
        <v>2610000</v>
      </c>
      <c r="C52" s="84">
        <v>5729698</v>
      </c>
      <c r="D52" s="84">
        <v>8339698</v>
      </c>
      <c r="E52" s="84">
        <v>1383389</v>
      </c>
      <c r="F52" s="84">
        <v>1383389</v>
      </c>
      <c r="G52" s="84">
        <f t="shared" si="10"/>
        <v>6956309</v>
      </c>
    </row>
    <row r="53" spans="1:7" ht="15">
      <c r="A53" s="21" t="s">
        <v>345</v>
      </c>
      <c r="B53" s="84">
        <v>0</v>
      </c>
      <c r="C53" s="84">
        <v>0</v>
      </c>
      <c r="D53" s="84">
        <v>0</v>
      </c>
      <c r="E53" s="84">
        <v>0</v>
      </c>
      <c r="F53" s="84">
        <v>0</v>
      </c>
      <c r="G53" s="84">
        <f t="shared" si="10"/>
        <v>0</v>
      </c>
    </row>
    <row r="54" spans="1:7" ht="15">
      <c r="A54" s="21" t="s">
        <v>346</v>
      </c>
      <c r="B54" s="84">
        <v>99999</v>
      </c>
      <c r="C54" s="84">
        <v>-14946.96</v>
      </c>
      <c r="D54" s="84">
        <v>85052.04</v>
      </c>
      <c r="E54" s="84">
        <v>85052.04</v>
      </c>
      <c r="F54" s="84">
        <v>85052.04</v>
      </c>
      <c r="G54" s="84">
        <f t="shared" si="10"/>
        <v>0</v>
      </c>
    </row>
    <row r="55" spans="1:7" ht="15">
      <c r="A55" s="21" t="s">
        <v>347</v>
      </c>
      <c r="B55" s="84">
        <v>0</v>
      </c>
      <c r="C55" s="84">
        <v>0</v>
      </c>
      <c r="D55" s="84">
        <v>0</v>
      </c>
      <c r="E55" s="84">
        <v>0</v>
      </c>
      <c r="F55" s="84">
        <v>0</v>
      </c>
      <c r="G55" s="84">
        <f t="shared" si="10"/>
        <v>0</v>
      </c>
    </row>
    <row r="56" spans="1:7" ht="15">
      <c r="A56" s="21" t="s">
        <v>348</v>
      </c>
      <c r="B56" s="84">
        <v>0</v>
      </c>
      <c r="C56" s="84">
        <v>0</v>
      </c>
      <c r="D56" s="84">
        <v>0</v>
      </c>
      <c r="E56" s="84">
        <v>0</v>
      </c>
      <c r="F56" s="84">
        <v>0</v>
      </c>
      <c r="G56" s="84">
        <f t="shared" si="10"/>
        <v>0</v>
      </c>
    </row>
    <row r="57" spans="1:7" ht="15">
      <c r="A57" s="21" t="s">
        <v>349</v>
      </c>
      <c r="B57" s="84">
        <v>40000</v>
      </c>
      <c r="C57" s="84">
        <v>107392</v>
      </c>
      <c r="D57" s="84">
        <v>147392</v>
      </c>
      <c r="E57" s="84">
        <v>42000</v>
      </c>
      <c r="F57" s="84">
        <v>42000</v>
      </c>
      <c r="G57" s="84">
        <f t="shared" si="10"/>
        <v>105392</v>
      </c>
    </row>
    <row r="58" spans="1:7" ht="15">
      <c r="A58" s="20" t="s">
        <v>350</v>
      </c>
      <c r="B58" s="84">
        <f aca="true" t="shared" si="11" ref="B58:G58">SUM(B59:B61)</f>
        <v>157942011</v>
      </c>
      <c r="C58" s="84">
        <f t="shared" si="11"/>
        <v>0</v>
      </c>
      <c r="D58" s="84">
        <f t="shared" si="11"/>
        <v>157942011</v>
      </c>
      <c r="E58" s="84">
        <f t="shared" si="11"/>
        <v>0</v>
      </c>
      <c r="F58" s="84">
        <f t="shared" si="11"/>
        <v>0</v>
      </c>
      <c r="G58" s="84">
        <f t="shared" si="11"/>
        <v>157942011</v>
      </c>
    </row>
    <row r="59" spans="1:7" ht="15">
      <c r="A59" s="21" t="s">
        <v>351</v>
      </c>
      <c r="B59" s="84">
        <v>157942011</v>
      </c>
      <c r="C59" s="84">
        <v>0</v>
      </c>
      <c r="D59" s="84">
        <v>157942011</v>
      </c>
      <c r="E59" s="84">
        <v>0</v>
      </c>
      <c r="F59" s="84">
        <v>0</v>
      </c>
      <c r="G59" s="84">
        <f>D59-E59</f>
        <v>157942011</v>
      </c>
    </row>
    <row r="60" spans="1:7" ht="15">
      <c r="A60" s="21" t="s">
        <v>352</v>
      </c>
      <c r="B60" s="84">
        <v>0</v>
      </c>
      <c r="C60" s="84">
        <v>0</v>
      </c>
      <c r="D60" s="84">
        <v>0</v>
      </c>
      <c r="E60" s="84">
        <v>0</v>
      </c>
      <c r="F60" s="84">
        <v>0</v>
      </c>
      <c r="G60" s="84">
        <f>D60-E60</f>
        <v>0</v>
      </c>
    </row>
    <row r="61" spans="1:7" ht="15">
      <c r="A61" s="21" t="s">
        <v>353</v>
      </c>
      <c r="B61" s="84">
        <v>0</v>
      </c>
      <c r="C61" s="84">
        <v>0</v>
      </c>
      <c r="D61" s="84">
        <v>0</v>
      </c>
      <c r="E61" s="84">
        <v>0</v>
      </c>
      <c r="F61" s="84">
        <v>0</v>
      </c>
      <c r="G61" s="84">
        <f>D61-E61</f>
        <v>0</v>
      </c>
    </row>
    <row r="62" spans="1:7" ht="15">
      <c r="A62" s="20" t="s">
        <v>354</v>
      </c>
      <c r="B62" s="130">
        <f>SUM(B63:B67,B68:B69)</f>
        <v>184215368</v>
      </c>
      <c r="C62" s="130">
        <f>SUM(C63:C67,C68:C69)</f>
        <v>3369434.98</v>
      </c>
      <c r="D62" s="130">
        <f>SUM(D63:D67,D68:D69)</f>
        <v>187584802.98000002</v>
      </c>
      <c r="E62" s="130">
        <f>SUM(E63:E67,E68:E69)</f>
        <v>1341723.96</v>
      </c>
      <c r="F62" s="84">
        <f>SUM(F63:F67,F68:F69)</f>
        <v>1341723.96</v>
      </c>
      <c r="G62" s="130">
        <f>D62-E62</f>
        <v>186243079.02</v>
      </c>
    </row>
    <row r="63" spans="1:7" ht="15">
      <c r="A63" s="21" t="s">
        <v>355</v>
      </c>
      <c r="B63" s="130">
        <v>0</v>
      </c>
      <c r="C63" s="130">
        <v>0</v>
      </c>
      <c r="D63" s="130">
        <v>0</v>
      </c>
      <c r="E63" s="130">
        <v>0</v>
      </c>
      <c r="F63" s="130">
        <v>0</v>
      </c>
      <c r="G63" s="84">
        <f>D63-E63</f>
        <v>0</v>
      </c>
    </row>
    <row r="64" spans="1:7" ht="15">
      <c r="A64" s="21" t="s">
        <v>356</v>
      </c>
      <c r="B64" s="130">
        <v>0</v>
      </c>
      <c r="C64" s="130">
        <v>0</v>
      </c>
      <c r="D64" s="130">
        <v>0</v>
      </c>
      <c r="E64" s="130">
        <v>0</v>
      </c>
      <c r="F64" s="130">
        <v>0</v>
      </c>
      <c r="G64" s="84">
        <f aca="true" t="shared" si="12" ref="G64:G69">D64-E64</f>
        <v>0</v>
      </c>
    </row>
    <row r="65" spans="1:7" ht="15">
      <c r="A65" s="21" t="s">
        <v>357</v>
      </c>
      <c r="B65" s="130">
        <v>0</v>
      </c>
      <c r="C65" s="130">
        <v>0</v>
      </c>
      <c r="D65" s="130">
        <v>0</v>
      </c>
      <c r="E65" s="130">
        <v>0</v>
      </c>
      <c r="F65" s="130">
        <v>0</v>
      </c>
      <c r="G65" s="84">
        <f t="shared" si="12"/>
        <v>0</v>
      </c>
    </row>
    <row r="66" spans="1:7" ht="15">
      <c r="A66" s="21" t="s">
        <v>358</v>
      </c>
      <c r="B66" s="130">
        <v>0</v>
      </c>
      <c r="C66" s="130">
        <v>0</v>
      </c>
      <c r="D66" s="130">
        <v>0</v>
      </c>
      <c r="E66" s="130">
        <v>0</v>
      </c>
      <c r="F66" s="130">
        <v>0</v>
      </c>
      <c r="G66" s="84">
        <f t="shared" si="12"/>
        <v>0</v>
      </c>
    </row>
    <row r="67" spans="1:7" ht="30">
      <c r="A67" s="36" t="s">
        <v>462</v>
      </c>
      <c r="B67" s="131">
        <v>0</v>
      </c>
      <c r="C67" s="131">
        <v>1341723.96</v>
      </c>
      <c r="D67" s="131">
        <v>1341723.96</v>
      </c>
      <c r="E67" s="131">
        <v>1341723.96</v>
      </c>
      <c r="F67" s="131">
        <v>1341723.96</v>
      </c>
      <c r="G67" s="131">
        <f t="shared" si="12"/>
        <v>0</v>
      </c>
    </row>
    <row r="68" spans="1:7" ht="15">
      <c r="A68" s="21" t="s">
        <v>361</v>
      </c>
      <c r="B68" s="130">
        <v>0</v>
      </c>
      <c r="C68" s="130">
        <v>0</v>
      </c>
      <c r="D68" s="130">
        <v>0</v>
      </c>
      <c r="E68" s="130">
        <v>0</v>
      </c>
      <c r="F68" s="130">
        <v>0</v>
      </c>
      <c r="G68" s="84">
        <f t="shared" si="12"/>
        <v>0</v>
      </c>
    </row>
    <row r="69" spans="1:7" ht="15">
      <c r="A69" s="21" t="s">
        <v>362</v>
      </c>
      <c r="B69" s="84">
        <v>184215368</v>
      </c>
      <c r="C69" s="84">
        <v>2027711.02</v>
      </c>
      <c r="D69" s="84">
        <v>186243079.02</v>
      </c>
      <c r="E69" s="84">
        <v>0</v>
      </c>
      <c r="F69" s="84">
        <v>0</v>
      </c>
      <c r="G69" s="84">
        <f t="shared" si="12"/>
        <v>186243079.02</v>
      </c>
    </row>
    <row r="70" spans="1:7" ht="15">
      <c r="A70" s="20" t="s">
        <v>363</v>
      </c>
      <c r="B70" s="84">
        <f aca="true" t="shared" si="13" ref="B70:G70">SUM(B71:B73)</f>
        <v>2902392097</v>
      </c>
      <c r="C70" s="84">
        <f t="shared" si="13"/>
        <v>50885771.42</v>
      </c>
      <c r="D70" s="84">
        <f t="shared" si="13"/>
        <v>2953277868.42</v>
      </c>
      <c r="E70" s="84">
        <f t="shared" si="13"/>
        <v>743884598.6800001</v>
      </c>
      <c r="F70" s="84">
        <f t="shared" si="13"/>
        <v>743884598.6800001</v>
      </c>
      <c r="G70" s="84">
        <f t="shared" si="13"/>
        <v>2209393269.74</v>
      </c>
    </row>
    <row r="71" spans="1:7" ht="15">
      <c r="A71" s="21" t="s">
        <v>364</v>
      </c>
      <c r="B71" s="84">
        <v>2579346941</v>
      </c>
      <c r="C71" s="84">
        <v>54336217.42</v>
      </c>
      <c r="D71" s="84">
        <v>2633683158.42</v>
      </c>
      <c r="E71" s="84">
        <v>684293314.11</v>
      </c>
      <c r="F71" s="84">
        <v>684293314.11</v>
      </c>
      <c r="G71" s="84">
        <f>D71-E71</f>
        <v>1949389844.31</v>
      </c>
    </row>
    <row r="72" spans="1:7" ht="15">
      <c r="A72" s="21" t="s">
        <v>365</v>
      </c>
      <c r="B72" s="84">
        <v>68807033</v>
      </c>
      <c r="C72" s="84">
        <v>1537687</v>
      </c>
      <c r="D72" s="84">
        <v>70344720</v>
      </c>
      <c r="E72" s="84">
        <v>18414950</v>
      </c>
      <c r="F72" s="84">
        <v>18414950</v>
      </c>
      <c r="G72" s="84">
        <f>D72-E72</f>
        <v>51929770</v>
      </c>
    </row>
    <row r="73" spans="1:7" ht="15">
      <c r="A73" s="21" t="s">
        <v>366</v>
      </c>
      <c r="B73" s="84">
        <v>254238123</v>
      </c>
      <c r="C73" s="84">
        <v>-4988133</v>
      </c>
      <c r="D73" s="84">
        <v>249249990</v>
      </c>
      <c r="E73" s="84">
        <v>41176334.57</v>
      </c>
      <c r="F73" s="84">
        <v>41176334.57</v>
      </c>
      <c r="G73" s="84">
        <f>D73-E73</f>
        <v>208073655.43</v>
      </c>
    </row>
    <row r="74" spans="1:7" ht="15">
      <c r="A74" s="20" t="s">
        <v>367</v>
      </c>
      <c r="B74" s="84">
        <f aca="true" t="shared" si="14" ref="B74:G74">SUM(B75:B81)</f>
        <v>273144349</v>
      </c>
      <c r="C74" s="84">
        <f t="shared" si="14"/>
        <v>0</v>
      </c>
      <c r="D74" s="84">
        <f t="shared" si="14"/>
        <v>273144349</v>
      </c>
      <c r="E74" s="84">
        <f t="shared" si="14"/>
        <v>57674305.09</v>
      </c>
      <c r="F74" s="84">
        <f t="shared" si="14"/>
        <v>57674305.09</v>
      </c>
      <c r="G74" s="84">
        <f t="shared" si="14"/>
        <v>215470043.91</v>
      </c>
    </row>
    <row r="75" spans="1:7" ht="15">
      <c r="A75" s="21" t="s">
        <v>368</v>
      </c>
      <c r="B75" s="84">
        <v>49584189</v>
      </c>
      <c r="C75" s="84">
        <v>0</v>
      </c>
      <c r="D75" s="84">
        <v>49584189</v>
      </c>
      <c r="E75" s="84">
        <v>11737657.7</v>
      </c>
      <c r="F75" s="84">
        <v>11737657.7</v>
      </c>
      <c r="G75" s="84">
        <f>D75-E75</f>
        <v>37846531.3</v>
      </c>
    </row>
    <row r="76" spans="1:7" ht="15">
      <c r="A76" s="21" t="s">
        <v>369</v>
      </c>
      <c r="B76" s="84">
        <v>173560160</v>
      </c>
      <c r="C76" s="84">
        <v>0</v>
      </c>
      <c r="D76" s="84">
        <v>173560160</v>
      </c>
      <c r="E76" s="84">
        <v>45936647.39</v>
      </c>
      <c r="F76" s="84">
        <v>45936647.39</v>
      </c>
      <c r="G76" s="84">
        <f aca="true" t="shared" si="15" ref="G76:G81">D76-E76</f>
        <v>127623512.61</v>
      </c>
    </row>
    <row r="77" spans="1:7" ht="15">
      <c r="A77" s="21" t="s">
        <v>370</v>
      </c>
      <c r="B77" s="84">
        <v>0</v>
      </c>
      <c r="C77" s="84">
        <v>0</v>
      </c>
      <c r="D77" s="84">
        <v>0</v>
      </c>
      <c r="E77" s="84">
        <v>0</v>
      </c>
      <c r="F77" s="84">
        <v>0</v>
      </c>
      <c r="G77" s="84">
        <f t="shared" si="15"/>
        <v>0</v>
      </c>
    </row>
    <row r="78" spans="1:7" ht="15">
      <c r="A78" s="21" t="s">
        <v>371</v>
      </c>
      <c r="B78" s="84">
        <v>0</v>
      </c>
      <c r="C78" s="84">
        <v>0</v>
      </c>
      <c r="D78" s="84">
        <v>0</v>
      </c>
      <c r="E78" s="84">
        <v>0</v>
      </c>
      <c r="F78" s="84">
        <v>0</v>
      </c>
      <c r="G78" s="84">
        <f t="shared" si="15"/>
        <v>0</v>
      </c>
    </row>
    <row r="79" spans="1:7" ht="15">
      <c r="A79" s="21" t="s">
        <v>372</v>
      </c>
      <c r="B79" s="84">
        <v>0</v>
      </c>
      <c r="C79" s="84">
        <v>0</v>
      </c>
      <c r="D79" s="84">
        <v>0</v>
      </c>
      <c r="E79" s="84">
        <v>0</v>
      </c>
      <c r="F79" s="84">
        <v>0</v>
      </c>
      <c r="G79" s="84">
        <f t="shared" si="15"/>
        <v>0</v>
      </c>
    </row>
    <row r="80" spans="1:7" ht="15">
      <c r="A80" s="21" t="s">
        <v>373</v>
      </c>
      <c r="B80" s="84">
        <v>0</v>
      </c>
      <c r="C80" s="84">
        <v>0</v>
      </c>
      <c r="D80" s="84">
        <v>0</v>
      </c>
      <c r="E80" s="84">
        <v>0</v>
      </c>
      <c r="F80" s="84">
        <v>0</v>
      </c>
      <c r="G80" s="84">
        <f t="shared" si="15"/>
        <v>0</v>
      </c>
    </row>
    <row r="81" spans="1:7" ht="15">
      <c r="A81" s="21" t="s">
        <v>374</v>
      </c>
      <c r="B81" s="84">
        <v>50000000</v>
      </c>
      <c r="C81" s="84">
        <v>0</v>
      </c>
      <c r="D81" s="84">
        <v>50000000</v>
      </c>
      <c r="E81" s="84">
        <v>0</v>
      </c>
      <c r="F81" s="84">
        <v>0</v>
      </c>
      <c r="G81" s="84">
        <f t="shared" si="15"/>
        <v>50000000</v>
      </c>
    </row>
    <row r="82" spans="1:7" ht="15">
      <c r="A82" s="22"/>
      <c r="B82" s="85"/>
      <c r="C82" s="85"/>
      <c r="D82" s="85"/>
      <c r="E82" s="85"/>
      <c r="F82" s="85"/>
      <c r="G82" s="85"/>
    </row>
    <row r="83" spans="1:7" ht="15">
      <c r="A83" s="23" t="s">
        <v>375</v>
      </c>
      <c r="B83" s="86">
        <f aca="true" t="shared" si="16" ref="B83:G83">SUM(B84,B92,B102,B112,B122,B132,B136,B145,B149)</f>
        <v>11042353021</v>
      </c>
      <c r="C83" s="86">
        <f t="shared" si="16"/>
        <v>826822232.5899999</v>
      </c>
      <c r="D83" s="86">
        <f t="shared" si="16"/>
        <v>11869175253.59</v>
      </c>
      <c r="E83" s="86">
        <f t="shared" si="16"/>
        <v>2657555597.14</v>
      </c>
      <c r="F83" s="86">
        <f t="shared" si="16"/>
        <v>2657555597.14</v>
      </c>
      <c r="G83" s="86">
        <f t="shared" si="16"/>
        <v>9211619656.45</v>
      </c>
    </row>
    <row r="84" spans="1:7" ht="15">
      <c r="A84" s="20" t="s">
        <v>302</v>
      </c>
      <c r="B84" s="84">
        <f aca="true" t="shared" si="17" ref="B84:G84">SUM(B85:B91)</f>
        <v>4689278295</v>
      </c>
      <c r="C84" s="84">
        <f t="shared" si="17"/>
        <v>0</v>
      </c>
      <c r="D84" s="84">
        <f t="shared" si="17"/>
        <v>4689278295</v>
      </c>
      <c r="E84" s="84">
        <f t="shared" si="17"/>
        <v>1054386246.41</v>
      </c>
      <c r="F84" s="84">
        <f t="shared" si="17"/>
        <v>1054386246.41</v>
      </c>
      <c r="G84" s="84">
        <f t="shared" si="17"/>
        <v>3634892048.5899997</v>
      </c>
    </row>
    <row r="85" spans="1:7" ht="15">
      <c r="A85" s="21" t="s">
        <v>303</v>
      </c>
      <c r="B85" s="84">
        <v>2699231454</v>
      </c>
      <c r="C85" s="84">
        <v>34245513</v>
      </c>
      <c r="D85" s="84">
        <v>2733476967</v>
      </c>
      <c r="E85" s="84">
        <v>619897585.11</v>
      </c>
      <c r="F85" s="84">
        <v>619897585.11</v>
      </c>
      <c r="G85" s="84">
        <f>D85-E85</f>
        <v>2113579381.8899999</v>
      </c>
    </row>
    <row r="86" spans="1:7" ht="15">
      <c r="A86" s="21" t="s">
        <v>304</v>
      </c>
      <c r="B86" s="84">
        <v>3302652</v>
      </c>
      <c r="C86" s="84">
        <v>216499</v>
      </c>
      <c r="D86" s="84">
        <v>3519151</v>
      </c>
      <c r="E86" s="84">
        <v>905195.42</v>
      </c>
      <c r="F86" s="84">
        <v>905195.42</v>
      </c>
      <c r="G86" s="84">
        <f aca="true" t="shared" si="18" ref="G86:G91">D86-E86</f>
        <v>2613955.58</v>
      </c>
    </row>
    <row r="87" spans="1:7" ht="15">
      <c r="A87" s="21" t="s">
        <v>305</v>
      </c>
      <c r="B87" s="84">
        <v>957946094</v>
      </c>
      <c r="C87" s="84">
        <v>-9153527</v>
      </c>
      <c r="D87" s="84">
        <v>948792567</v>
      </c>
      <c r="E87" s="84">
        <v>259525896.49</v>
      </c>
      <c r="F87" s="84">
        <v>259525896.49</v>
      </c>
      <c r="G87" s="84">
        <f t="shared" si="18"/>
        <v>689266670.51</v>
      </c>
    </row>
    <row r="88" spans="1:7" ht="15">
      <c r="A88" s="21" t="s">
        <v>306</v>
      </c>
      <c r="B88" s="84">
        <v>455589376</v>
      </c>
      <c r="C88" s="84">
        <v>-24929497</v>
      </c>
      <c r="D88" s="84">
        <v>430659879</v>
      </c>
      <c r="E88" s="84">
        <v>59289405.49</v>
      </c>
      <c r="F88" s="84">
        <v>59289405.49</v>
      </c>
      <c r="G88" s="84">
        <f t="shared" si="18"/>
        <v>371370473.51</v>
      </c>
    </row>
    <row r="89" spans="1:7" ht="15">
      <c r="A89" s="21" t="s">
        <v>307</v>
      </c>
      <c r="B89" s="84">
        <v>78965757</v>
      </c>
      <c r="C89" s="84">
        <v>16611534</v>
      </c>
      <c r="D89" s="84">
        <v>95577291</v>
      </c>
      <c r="E89" s="84">
        <v>40085698.38</v>
      </c>
      <c r="F89" s="84">
        <v>40085698.38</v>
      </c>
      <c r="G89" s="84">
        <f t="shared" si="18"/>
        <v>55491592.62</v>
      </c>
    </row>
    <row r="90" spans="1:7" ht="15">
      <c r="A90" s="21" t="s">
        <v>308</v>
      </c>
      <c r="B90" s="84">
        <v>0</v>
      </c>
      <c r="C90" s="84">
        <v>0</v>
      </c>
      <c r="D90" s="84">
        <v>0</v>
      </c>
      <c r="E90" s="84">
        <v>0</v>
      </c>
      <c r="F90" s="84">
        <v>0</v>
      </c>
      <c r="G90" s="84">
        <f t="shared" si="18"/>
        <v>0</v>
      </c>
    </row>
    <row r="91" spans="1:7" ht="15">
      <c r="A91" s="21" t="s">
        <v>309</v>
      </c>
      <c r="B91" s="84">
        <v>494242962</v>
      </c>
      <c r="C91" s="84">
        <v>-16990522</v>
      </c>
      <c r="D91" s="84">
        <v>477252440</v>
      </c>
      <c r="E91" s="84">
        <v>74682465.52</v>
      </c>
      <c r="F91" s="84">
        <v>74682465.52</v>
      </c>
      <c r="G91" s="84">
        <f t="shared" si="18"/>
        <v>402569974.48</v>
      </c>
    </row>
    <row r="92" spans="1:7" ht="15">
      <c r="A92" s="20" t="s">
        <v>310</v>
      </c>
      <c r="B92" s="84">
        <f aca="true" t="shared" si="19" ref="B92:G92">SUM(B93:B101)</f>
        <v>65857796</v>
      </c>
      <c r="C92" s="131">
        <f t="shared" si="19"/>
        <v>7717534.37</v>
      </c>
      <c r="D92" s="131">
        <f t="shared" si="19"/>
        <v>73575330.37</v>
      </c>
      <c r="E92" s="131">
        <f t="shared" si="19"/>
        <v>6530280.37</v>
      </c>
      <c r="F92" s="131">
        <f t="shared" si="19"/>
        <v>6530280.37</v>
      </c>
      <c r="G92" s="131">
        <f t="shared" si="19"/>
        <v>67045050</v>
      </c>
    </row>
    <row r="93" spans="1:7" ht="15">
      <c r="A93" s="21" t="s">
        <v>311</v>
      </c>
      <c r="B93" s="84">
        <v>10159401</v>
      </c>
      <c r="C93" s="84">
        <v>-4399311.53</v>
      </c>
      <c r="D93" s="84">
        <v>5760089.47</v>
      </c>
      <c r="E93" s="84">
        <v>36029.47</v>
      </c>
      <c r="F93" s="84">
        <v>36029.47</v>
      </c>
      <c r="G93" s="84">
        <f>D93-E93</f>
        <v>5724060</v>
      </c>
    </row>
    <row r="94" spans="1:7" ht="15">
      <c r="A94" s="21" t="s">
        <v>312</v>
      </c>
      <c r="B94" s="84">
        <v>10124288</v>
      </c>
      <c r="C94" s="84">
        <v>505929.37</v>
      </c>
      <c r="D94" s="84">
        <v>10630217.37</v>
      </c>
      <c r="E94" s="84">
        <v>1248600.37</v>
      </c>
      <c r="F94" s="84">
        <v>1248600.37</v>
      </c>
      <c r="G94" s="84">
        <f aca="true" t="shared" si="20" ref="G94:G101">D94-E94</f>
        <v>9381617</v>
      </c>
    </row>
    <row r="95" spans="1:7" ht="15">
      <c r="A95" s="21" t="s">
        <v>313</v>
      </c>
      <c r="B95" s="84">
        <v>0</v>
      </c>
      <c r="C95" s="84">
        <v>0</v>
      </c>
      <c r="D95" s="84">
        <v>0</v>
      </c>
      <c r="E95" s="84">
        <v>0</v>
      </c>
      <c r="F95" s="84">
        <v>0</v>
      </c>
      <c r="G95" s="84">
        <f t="shared" si="20"/>
        <v>0</v>
      </c>
    </row>
    <row r="96" spans="1:7" ht="15">
      <c r="A96" s="21" t="s">
        <v>314</v>
      </c>
      <c r="B96" s="84">
        <v>1034991</v>
      </c>
      <c r="C96" s="84">
        <v>-55304</v>
      </c>
      <c r="D96" s="84">
        <v>979687</v>
      </c>
      <c r="E96" s="84">
        <v>5000</v>
      </c>
      <c r="F96" s="84">
        <v>5000</v>
      </c>
      <c r="G96" s="84">
        <f t="shared" si="20"/>
        <v>974687</v>
      </c>
    </row>
    <row r="97" spans="1:7" ht="15">
      <c r="A97" s="24" t="s">
        <v>315</v>
      </c>
      <c r="B97" s="84">
        <v>2846500</v>
      </c>
      <c r="C97" s="84">
        <v>140468.16</v>
      </c>
      <c r="D97" s="84">
        <v>2986968.16</v>
      </c>
      <c r="E97" s="84">
        <v>354468.16</v>
      </c>
      <c r="F97" s="84">
        <v>354468.16</v>
      </c>
      <c r="G97" s="84">
        <f t="shared" si="20"/>
        <v>2632500</v>
      </c>
    </row>
    <row r="98" spans="1:7" ht="15">
      <c r="A98" s="21" t="s">
        <v>316</v>
      </c>
      <c r="B98" s="84">
        <v>8028575</v>
      </c>
      <c r="C98" s="84">
        <v>281569.28</v>
      </c>
      <c r="D98" s="84">
        <v>8310144.28</v>
      </c>
      <c r="E98" s="84">
        <v>671327.28</v>
      </c>
      <c r="F98" s="84">
        <v>671327.28</v>
      </c>
      <c r="G98" s="84">
        <f t="shared" si="20"/>
        <v>7638817</v>
      </c>
    </row>
    <row r="99" spans="1:7" ht="15">
      <c r="A99" s="21" t="s">
        <v>317</v>
      </c>
      <c r="B99" s="84">
        <v>25875600</v>
      </c>
      <c r="C99" s="84">
        <v>10971762.58</v>
      </c>
      <c r="D99" s="84">
        <v>36847362.58</v>
      </c>
      <c r="E99" s="84">
        <v>4190964.58</v>
      </c>
      <c r="F99" s="84">
        <v>4190964.58</v>
      </c>
      <c r="G99" s="84">
        <f t="shared" si="20"/>
        <v>32656398</v>
      </c>
    </row>
    <row r="100" spans="1:7" ht="15">
      <c r="A100" s="21" t="s">
        <v>318</v>
      </c>
      <c r="B100" s="84">
        <v>1855000</v>
      </c>
      <c r="C100" s="84">
        <v>395000</v>
      </c>
      <c r="D100" s="84">
        <v>2250000</v>
      </c>
      <c r="E100" s="84">
        <v>0</v>
      </c>
      <c r="F100" s="84">
        <v>0</v>
      </c>
      <c r="G100" s="84">
        <f t="shared" si="20"/>
        <v>2250000</v>
      </c>
    </row>
    <row r="101" spans="1:7" ht="15">
      <c r="A101" s="21" t="s">
        <v>319</v>
      </c>
      <c r="B101" s="84">
        <v>5933441</v>
      </c>
      <c r="C101" s="84">
        <v>-122579.49</v>
      </c>
      <c r="D101" s="84">
        <v>5810861.51</v>
      </c>
      <c r="E101" s="84">
        <v>23890.51</v>
      </c>
      <c r="F101" s="84">
        <v>23890.51</v>
      </c>
      <c r="G101" s="84">
        <f t="shared" si="20"/>
        <v>5786971</v>
      </c>
    </row>
    <row r="102" spans="1:7" ht="15">
      <c r="A102" s="20" t="s">
        <v>320</v>
      </c>
      <c r="B102" s="84">
        <f aca="true" t="shared" si="21" ref="B102:G102">SUM(B103:B111)</f>
        <v>274143776</v>
      </c>
      <c r="C102" s="84">
        <f t="shared" si="21"/>
        <v>21214769.75</v>
      </c>
      <c r="D102" s="84">
        <f t="shared" si="21"/>
        <v>295358545.75</v>
      </c>
      <c r="E102" s="84">
        <f t="shared" si="21"/>
        <v>47498086.410000004</v>
      </c>
      <c r="F102" s="84">
        <f t="shared" si="21"/>
        <v>47498086.410000004</v>
      </c>
      <c r="G102" s="84">
        <f t="shared" si="21"/>
        <v>247860459.33999997</v>
      </c>
    </row>
    <row r="103" spans="1:7" ht="15">
      <c r="A103" s="21" t="s">
        <v>321</v>
      </c>
      <c r="B103" s="84">
        <v>102840777</v>
      </c>
      <c r="C103" s="84">
        <v>-220974.65</v>
      </c>
      <c r="D103" s="84">
        <v>102619802.35</v>
      </c>
      <c r="E103" s="84">
        <v>11110353.01</v>
      </c>
      <c r="F103" s="84">
        <v>11110353.01</v>
      </c>
      <c r="G103" s="84">
        <f>D103-E103</f>
        <v>91509449.33999999</v>
      </c>
    </row>
    <row r="104" spans="1:7" ht="15">
      <c r="A104" s="21" t="s">
        <v>322</v>
      </c>
      <c r="B104" s="84">
        <v>11122850</v>
      </c>
      <c r="C104" s="84">
        <v>-526814.76</v>
      </c>
      <c r="D104" s="84">
        <v>10596035.24</v>
      </c>
      <c r="E104" s="84">
        <v>677472.24</v>
      </c>
      <c r="F104" s="84">
        <v>677472.24</v>
      </c>
      <c r="G104" s="84">
        <f aca="true" t="shared" si="22" ref="G104:G111">D104-E104</f>
        <v>9918563</v>
      </c>
    </row>
    <row r="105" spans="1:7" ht="15">
      <c r="A105" s="21" t="s">
        <v>323</v>
      </c>
      <c r="B105" s="84">
        <v>28340253</v>
      </c>
      <c r="C105" s="84">
        <v>4793112.48</v>
      </c>
      <c r="D105" s="84">
        <v>33133365.48</v>
      </c>
      <c r="E105" s="84">
        <v>1747591.48</v>
      </c>
      <c r="F105" s="84">
        <v>1747591.48</v>
      </c>
      <c r="G105" s="84">
        <f t="shared" si="22"/>
        <v>31385774</v>
      </c>
    </row>
    <row r="106" spans="1:7" ht="15">
      <c r="A106" s="21" t="s">
        <v>324</v>
      </c>
      <c r="B106" s="84">
        <v>462316</v>
      </c>
      <c r="C106" s="84">
        <v>-91145.32</v>
      </c>
      <c r="D106" s="84">
        <v>371170.68</v>
      </c>
      <c r="E106" s="84">
        <v>192320.68</v>
      </c>
      <c r="F106" s="84">
        <v>192320.68</v>
      </c>
      <c r="G106" s="84">
        <f t="shared" si="22"/>
        <v>178850</v>
      </c>
    </row>
    <row r="107" spans="1:7" ht="15">
      <c r="A107" s="21" t="s">
        <v>325</v>
      </c>
      <c r="B107" s="84">
        <v>122735158</v>
      </c>
      <c r="C107" s="84">
        <v>18364172.74</v>
      </c>
      <c r="D107" s="84">
        <v>141099330.74</v>
      </c>
      <c r="E107" s="84">
        <v>33571182.74</v>
      </c>
      <c r="F107" s="84">
        <v>33571182.74</v>
      </c>
      <c r="G107" s="84">
        <f t="shared" si="22"/>
        <v>107528148</v>
      </c>
    </row>
    <row r="108" spans="1:7" ht="15">
      <c r="A108" s="21" t="s">
        <v>326</v>
      </c>
      <c r="B108" s="84">
        <v>704745</v>
      </c>
      <c r="C108" s="84">
        <v>-31874.5</v>
      </c>
      <c r="D108" s="84">
        <v>672870.5</v>
      </c>
      <c r="E108" s="84">
        <v>75465.5</v>
      </c>
      <c r="F108" s="84">
        <v>75465.5</v>
      </c>
      <c r="G108" s="84">
        <f t="shared" si="22"/>
        <v>597405</v>
      </c>
    </row>
    <row r="109" spans="1:7" ht="15">
      <c r="A109" s="21" t="s">
        <v>327</v>
      </c>
      <c r="B109" s="84">
        <v>3632232</v>
      </c>
      <c r="C109" s="84">
        <v>-619467.24</v>
      </c>
      <c r="D109" s="84">
        <v>3012764.76</v>
      </c>
      <c r="E109" s="84">
        <v>101208.76</v>
      </c>
      <c r="F109" s="84">
        <v>101208.76</v>
      </c>
      <c r="G109" s="84">
        <f t="shared" si="22"/>
        <v>2911556</v>
      </c>
    </row>
    <row r="110" spans="1:7" ht="15">
      <c r="A110" s="21" t="s">
        <v>328</v>
      </c>
      <c r="B110" s="84">
        <v>4160509</v>
      </c>
      <c r="C110" s="84">
        <v>-409195</v>
      </c>
      <c r="D110" s="84">
        <v>3751314</v>
      </c>
      <c r="E110" s="84">
        <v>0</v>
      </c>
      <c r="F110" s="84">
        <v>0</v>
      </c>
      <c r="G110" s="84">
        <f t="shared" si="22"/>
        <v>3751314</v>
      </c>
    </row>
    <row r="111" spans="1:7" ht="15">
      <c r="A111" s="21" t="s">
        <v>329</v>
      </c>
      <c r="B111" s="84">
        <v>144936</v>
      </c>
      <c r="C111" s="84">
        <v>-43044</v>
      </c>
      <c r="D111" s="84">
        <v>101892</v>
      </c>
      <c r="E111" s="84">
        <v>22492</v>
      </c>
      <c r="F111" s="84">
        <v>22492</v>
      </c>
      <c r="G111" s="84">
        <f t="shared" si="22"/>
        <v>79400</v>
      </c>
    </row>
    <row r="112" spans="1:7" ht="15">
      <c r="A112" s="20" t="s">
        <v>330</v>
      </c>
      <c r="B112" s="84">
        <f aca="true" t="shared" si="23" ref="B112:G112">SUM(B113:B121)</f>
        <v>3658728234</v>
      </c>
      <c r="C112" s="84">
        <f t="shared" si="23"/>
        <v>659998340.31</v>
      </c>
      <c r="D112" s="84">
        <f t="shared" si="23"/>
        <v>4318726574.31</v>
      </c>
      <c r="E112" s="84">
        <f t="shared" si="23"/>
        <v>1029781558.31</v>
      </c>
      <c r="F112" s="84">
        <f t="shared" si="23"/>
        <v>1029781558.31</v>
      </c>
      <c r="G112" s="84">
        <f t="shared" si="23"/>
        <v>3288945016.0000005</v>
      </c>
    </row>
    <row r="113" spans="1:7" ht="15">
      <c r="A113" s="21" t="s">
        <v>331</v>
      </c>
      <c r="B113" s="84">
        <v>0</v>
      </c>
      <c r="C113" s="84">
        <v>0</v>
      </c>
      <c r="D113" s="84">
        <v>0</v>
      </c>
      <c r="E113" s="84">
        <v>0</v>
      </c>
      <c r="F113" s="84">
        <v>0</v>
      </c>
      <c r="G113" s="84">
        <f>D113-E113</f>
        <v>0</v>
      </c>
    </row>
    <row r="114" spans="1:7" ht="15">
      <c r="A114" s="21" t="s">
        <v>332</v>
      </c>
      <c r="B114" s="84">
        <v>3651028089</v>
      </c>
      <c r="C114" s="84">
        <v>657998340.31</v>
      </c>
      <c r="D114" s="84">
        <v>4309026429.31</v>
      </c>
      <c r="E114" s="84">
        <v>1029781558.31</v>
      </c>
      <c r="F114" s="84">
        <v>1029781558.31</v>
      </c>
      <c r="G114" s="84">
        <f aca="true" t="shared" si="24" ref="G114:G121">D114-E114</f>
        <v>3279244871.0000005</v>
      </c>
    </row>
    <row r="115" spans="1:7" ht="15">
      <c r="A115" s="21" t="s">
        <v>333</v>
      </c>
      <c r="B115" s="84">
        <v>0</v>
      </c>
      <c r="C115" s="84">
        <v>0</v>
      </c>
      <c r="D115" s="84">
        <v>0</v>
      </c>
      <c r="E115" s="84">
        <v>0</v>
      </c>
      <c r="F115" s="84">
        <v>0</v>
      </c>
      <c r="G115" s="84">
        <f t="shared" si="24"/>
        <v>0</v>
      </c>
    </row>
    <row r="116" spans="1:7" ht="15">
      <c r="A116" s="125" t="s">
        <v>334</v>
      </c>
      <c r="B116" s="126">
        <v>7700145</v>
      </c>
      <c r="C116" s="126">
        <v>2000000</v>
      </c>
      <c r="D116" s="126">
        <v>9700145</v>
      </c>
      <c r="E116" s="126">
        <v>0</v>
      </c>
      <c r="F116" s="126">
        <v>0</v>
      </c>
      <c r="G116" s="126">
        <f t="shared" si="24"/>
        <v>9700145</v>
      </c>
    </row>
    <row r="117" spans="1:7" ht="15">
      <c r="A117" s="21" t="s">
        <v>335</v>
      </c>
      <c r="B117" s="84">
        <v>0</v>
      </c>
      <c r="C117" s="84">
        <v>0</v>
      </c>
      <c r="D117" s="84">
        <v>0</v>
      </c>
      <c r="E117" s="84">
        <v>0</v>
      </c>
      <c r="F117" s="84">
        <v>0</v>
      </c>
      <c r="G117" s="84">
        <f t="shared" si="24"/>
        <v>0</v>
      </c>
    </row>
    <row r="118" spans="1:7" ht="15">
      <c r="A118" s="21" t="s">
        <v>336</v>
      </c>
      <c r="B118" s="84">
        <v>0</v>
      </c>
      <c r="C118" s="84">
        <v>0</v>
      </c>
      <c r="D118" s="84">
        <v>0</v>
      </c>
      <c r="E118" s="84">
        <v>0</v>
      </c>
      <c r="F118" s="84">
        <v>0</v>
      </c>
      <c r="G118" s="84">
        <f t="shared" si="24"/>
        <v>0</v>
      </c>
    </row>
    <row r="119" spans="1:7" ht="15">
      <c r="A119" s="21" t="s">
        <v>337</v>
      </c>
      <c r="B119" s="84">
        <v>0</v>
      </c>
      <c r="C119" s="84">
        <v>0</v>
      </c>
      <c r="D119" s="84">
        <v>0</v>
      </c>
      <c r="E119" s="84">
        <v>0</v>
      </c>
      <c r="F119" s="84">
        <v>0</v>
      </c>
      <c r="G119" s="84">
        <f t="shared" si="24"/>
        <v>0</v>
      </c>
    </row>
    <row r="120" spans="1:7" ht="15">
      <c r="A120" s="21" t="s">
        <v>338</v>
      </c>
      <c r="B120" s="84">
        <v>0</v>
      </c>
      <c r="C120" s="84">
        <v>0</v>
      </c>
      <c r="D120" s="84">
        <v>0</v>
      </c>
      <c r="E120" s="84">
        <v>0</v>
      </c>
      <c r="F120" s="84">
        <v>0</v>
      </c>
      <c r="G120" s="84">
        <f t="shared" si="24"/>
        <v>0</v>
      </c>
    </row>
    <row r="121" spans="1:7" ht="15">
      <c r="A121" s="21" t="s">
        <v>339</v>
      </c>
      <c r="B121" s="84">
        <v>0</v>
      </c>
      <c r="C121" s="84">
        <v>0</v>
      </c>
      <c r="D121" s="84">
        <v>0</v>
      </c>
      <c r="E121" s="84">
        <v>0</v>
      </c>
      <c r="F121" s="84">
        <v>0</v>
      </c>
      <c r="G121" s="84">
        <f t="shared" si="24"/>
        <v>0</v>
      </c>
    </row>
    <row r="122" spans="1:7" ht="15">
      <c r="A122" s="20" t="s">
        <v>340</v>
      </c>
      <c r="B122" s="84">
        <f aca="true" t="shared" si="25" ref="B122:G122">SUM(B123:B131)</f>
        <v>123080068</v>
      </c>
      <c r="C122" s="84">
        <f t="shared" si="25"/>
        <v>12402948.850000001</v>
      </c>
      <c r="D122" s="84">
        <f t="shared" si="25"/>
        <v>135483016.85</v>
      </c>
      <c r="E122" s="84">
        <f t="shared" si="25"/>
        <v>7349358.22</v>
      </c>
      <c r="F122" s="84">
        <f t="shared" si="25"/>
        <v>7349358.22</v>
      </c>
      <c r="G122" s="84">
        <f t="shared" si="25"/>
        <v>128133658.63</v>
      </c>
    </row>
    <row r="123" spans="1:7" ht="15">
      <c r="A123" s="21" t="s">
        <v>341</v>
      </c>
      <c r="B123" s="84">
        <v>21188992</v>
      </c>
      <c r="C123" s="84">
        <v>757080.53</v>
      </c>
      <c r="D123" s="84">
        <v>21946072.53</v>
      </c>
      <c r="E123" s="84">
        <v>1294413.44</v>
      </c>
      <c r="F123" s="84">
        <v>1294413.44</v>
      </c>
      <c r="G123" s="84">
        <f>D123-E123</f>
        <v>20651659.09</v>
      </c>
    </row>
    <row r="124" spans="1:7" ht="15">
      <c r="A124" s="21" t="s">
        <v>342</v>
      </c>
      <c r="B124" s="84">
        <v>106153</v>
      </c>
      <c r="C124" s="84">
        <v>5836978.32</v>
      </c>
      <c r="D124" s="84">
        <v>5943131.32</v>
      </c>
      <c r="E124" s="84">
        <v>181345.1</v>
      </c>
      <c r="F124" s="84">
        <v>181345.1</v>
      </c>
      <c r="G124" s="84">
        <f aca="true" t="shared" si="26" ref="G124:G131">D124-E124</f>
        <v>5761786.220000001</v>
      </c>
    </row>
    <row r="125" spans="1:7" ht="15">
      <c r="A125" s="21" t="s">
        <v>343</v>
      </c>
      <c r="B125" s="84">
        <v>45500</v>
      </c>
      <c r="C125" s="84">
        <v>492452.32</v>
      </c>
      <c r="D125" s="84">
        <v>537952.32</v>
      </c>
      <c r="E125" s="84">
        <v>121800</v>
      </c>
      <c r="F125" s="84">
        <v>121800</v>
      </c>
      <c r="G125" s="84">
        <f t="shared" si="26"/>
        <v>416152.31999999995</v>
      </c>
    </row>
    <row r="126" spans="1:7" ht="15">
      <c r="A126" s="21" t="s">
        <v>344</v>
      </c>
      <c r="B126" s="84">
        <v>75160430</v>
      </c>
      <c r="C126" s="84">
        <v>-9430193</v>
      </c>
      <c r="D126" s="84">
        <v>65730237</v>
      </c>
      <c r="E126" s="84">
        <v>289500</v>
      </c>
      <c r="F126" s="84">
        <v>289500</v>
      </c>
      <c r="G126" s="84">
        <f t="shared" si="26"/>
        <v>65440737</v>
      </c>
    </row>
    <row r="127" spans="1:7" ht="15">
      <c r="A127" s="21" t="s">
        <v>345</v>
      </c>
      <c r="B127" s="84">
        <v>0</v>
      </c>
      <c r="C127" s="84">
        <v>11912754</v>
      </c>
      <c r="D127" s="84">
        <v>11912754</v>
      </c>
      <c r="E127" s="84">
        <v>0</v>
      </c>
      <c r="F127" s="84">
        <v>0</v>
      </c>
      <c r="G127" s="84">
        <f t="shared" si="26"/>
        <v>11912754</v>
      </c>
    </row>
    <row r="128" spans="1:7" ht="15">
      <c r="A128" s="21" t="s">
        <v>346</v>
      </c>
      <c r="B128" s="84">
        <v>20303333</v>
      </c>
      <c r="C128" s="84">
        <v>7211417.68</v>
      </c>
      <c r="D128" s="84">
        <v>27514750.68</v>
      </c>
      <c r="E128" s="84">
        <v>5462299.68</v>
      </c>
      <c r="F128" s="84">
        <v>5462299.68</v>
      </c>
      <c r="G128" s="84">
        <f t="shared" si="26"/>
        <v>22052451</v>
      </c>
    </row>
    <row r="129" spans="1:7" ht="15">
      <c r="A129" s="21" t="s">
        <v>347</v>
      </c>
      <c r="B129" s="84">
        <v>0</v>
      </c>
      <c r="C129" s="84">
        <v>0</v>
      </c>
      <c r="D129" s="84">
        <v>0</v>
      </c>
      <c r="E129" s="84">
        <v>0</v>
      </c>
      <c r="F129" s="84">
        <v>0</v>
      </c>
      <c r="G129" s="84">
        <f t="shared" si="26"/>
        <v>0</v>
      </c>
    </row>
    <row r="130" spans="1:7" ht="15">
      <c r="A130" s="21" t="s">
        <v>348</v>
      </c>
      <c r="B130" s="84">
        <v>0</v>
      </c>
      <c r="C130" s="84">
        <v>0</v>
      </c>
      <c r="D130" s="84">
        <v>0</v>
      </c>
      <c r="E130" s="84">
        <v>0</v>
      </c>
      <c r="F130" s="84">
        <v>0</v>
      </c>
      <c r="G130" s="84">
        <f t="shared" si="26"/>
        <v>0</v>
      </c>
    </row>
    <row r="131" spans="1:7" ht="15">
      <c r="A131" s="21" t="s">
        <v>349</v>
      </c>
      <c r="B131" s="84">
        <v>6275660</v>
      </c>
      <c r="C131" s="84">
        <v>-4377541</v>
      </c>
      <c r="D131" s="84">
        <v>1898119</v>
      </c>
      <c r="E131" s="84">
        <v>0</v>
      </c>
      <c r="F131" s="84">
        <v>0</v>
      </c>
      <c r="G131" s="84">
        <f t="shared" si="26"/>
        <v>1898119</v>
      </c>
    </row>
    <row r="132" spans="1:7" ht="15">
      <c r="A132" s="20" t="s">
        <v>350</v>
      </c>
      <c r="B132" s="84">
        <f aca="true" t="shared" si="27" ref="B132:G132">SUM(B133:B135)</f>
        <v>536050877</v>
      </c>
      <c r="C132" s="84">
        <f t="shared" si="27"/>
        <v>8456868.629999999</v>
      </c>
      <c r="D132" s="84">
        <f t="shared" si="27"/>
        <v>544507745.63</v>
      </c>
      <c r="E132" s="84">
        <f t="shared" si="27"/>
        <v>12724587.96</v>
      </c>
      <c r="F132" s="84">
        <f t="shared" si="27"/>
        <v>12724587.96</v>
      </c>
      <c r="G132" s="84">
        <f t="shared" si="27"/>
        <v>531783157.67</v>
      </c>
    </row>
    <row r="133" spans="1:7" ht="15">
      <c r="A133" s="21" t="s">
        <v>351</v>
      </c>
      <c r="B133" s="84">
        <v>526320529</v>
      </c>
      <c r="C133" s="84">
        <v>6724587.96</v>
      </c>
      <c r="D133" s="84">
        <v>533045116.96</v>
      </c>
      <c r="E133" s="84">
        <v>12724587.96</v>
      </c>
      <c r="F133" s="84">
        <v>12724587.96</v>
      </c>
      <c r="G133" s="84">
        <f>D133-E133</f>
        <v>520320529</v>
      </c>
    </row>
    <row r="134" spans="1:7" ht="15">
      <c r="A134" s="21" t="s">
        <v>352</v>
      </c>
      <c r="B134" s="84">
        <v>9730348</v>
      </c>
      <c r="C134" s="84">
        <v>1732280.67</v>
      </c>
      <c r="D134" s="84">
        <v>11462628.67</v>
      </c>
      <c r="E134" s="84">
        <v>0</v>
      </c>
      <c r="F134" s="84">
        <v>0</v>
      </c>
      <c r="G134" s="84">
        <f>D134-E134</f>
        <v>11462628.67</v>
      </c>
    </row>
    <row r="135" spans="1:7" ht="15">
      <c r="A135" s="21" t="s">
        <v>353</v>
      </c>
      <c r="B135" s="84">
        <v>0</v>
      </c>
      <c r="C135" s="84">
        <v>0</v>
      </c>
      <c r="D135" s="84">
        <v>0</v>
      </c>
      <c r="E135" s="84">
        <v>0</v>
      </c>
      <c r="F135" s="84">
        <v>0</v>
      </c>
      <c r="G135" s="84">
        <f>D135-E135</f>
        <v>0</v>
      </c>
    </row>
    <row r="136" spans="1:7" ht="15">
      <c r="A136" s="20" t="s">
        <v>354</v>
      </c>
      <c r="B136" s="84">
        <f aca="true" t="shared" si="28" ref="B136:G136">SUM(B137:B141,B143:B144)</f>
        <v>0</v>
      </c>
      <c r="C136" s="84">
        <f t="shared" si="28"/>
        <v>0</v>
      </c>
      <c r="D136" s="84">
        <f t="shared" si="28"/>
        <v>0</v>
      </c>
      <c r="E136" s="84">
        <f t="shared" si="28"/>
        <v>0</v>
      </c>
      <c r="F136" s="84">
        <f t="shared" si="28"/>
        <v>0</v>
      </c>
      <c r="G136" s="84">
        <f t="shared" si="28"/>
        <v>0</v>
      </c>
    </row>
    <row r="137" spans="1:7" ht="15">
      <c r="A137" s="21" t="s">
        <v>355</v>
      </c>
      <c r="B137" s="84">
        <v>0</v>
      </c>
      <c r="C137" s="84">
        <v>0</v>
      </c>
      <c r="D137" s="84">
        <v>0</v>
      </c>
      <c r="E137" s="84">
        <v>0</v>
      </c>
      <c r="F137" s="84">
        <v>0</v>
      </c>
      <c r="G137" s="84">
        <f>D137-E137</f>
        <v>0</v>
      </c>
    </row>
    <row r="138" spans="1:7" ht="15">
      <c r="A138" s="21" t="s">
        <v>356</v>
      </c>
      <c r="B138" s="84">
        <v>0</v>
      </c>
      <c r="C138" s="84">
        <v>0</v>
      </c>
      <c r="D138" s="84">
        <v>0</v>
      </c>
      <c r="E138" s="84">
        <v>0</v>
      </c>
      <c r="F138" s="84">
        <v>0</v>
      </c>
      <c r="G138" s="84">
        <f aca="true" t="shared" si="29" ref="G138:G144">D138-E138</f>
        <v>0</v>
      </c>
    </row>
    <row r="139" spans="1:7" ht="15">
      <c r="A139" s="21" t="s">
        <v>357</v>
      </c>
      <c r="B139" s="84">
        <v>0</v>
      </c>
      <c r="C139" s="84">
        <v>0</v>
      </c>
      <c r="D139" s="84">
        <v>0</v>
      </c>
      <c r="E139" s="84">
        <v>0</v>
      </c>
      <c r="F139" s="84">
        <v>0</v>
      </c>
      <c r="G139" s="84">
        <f t="shared" si="29"/>
        <v>0</v>
      </c>
    </row>
    <row r="140" spans="1:7" ht="15">
      <c r="A140" s="21" t="s">
        <v>358</v>
      </c>
      <c r="B140" s="84">
        <v>0</v>
      </c>
      <c r="C140" s="84">
        <v>0</v>
      </c>
      <c r="D140" s="84">
        <v>0</v>
      </c>
      <c r="E140" s="84">
        <v>0</v>
      </c>
      <c r="F140" s="84">
        <v>0</v>
      </c>
      <c r="G140" s="84">
        <f t="shared" si="29"/>
        <v>0</v>
      </c>
    </row>
    <row r="141" spans="1:7" ht="15">
      <c r="A141" s="21" t="s">
        <v>359</v>
      </c>
      <c r="B141" s="84">
        <v>0</v>
      </c>
      <c r="C141" s="84">
        <v>0</v>
      </c>
      <c r="D141" s="84">
        <v>0</v>
      </c>
      <c r="E141" s="84">
        <v>0</v>
      </c>
      <c r="F141" s="84">
        <v>0</v>
      </c>
      <c r="G141" s="84">
        <f t="shared" si="29"/>
        <v>0</v>
      </c>
    </row>
    <row r="142" spans="1:7" ht="15">
      <c r="A142" s="21" t="s">
        <v>360</v>
      </c>
      <c r="B142" s="84">
        <v>0</v>
      </c>
      <c r="C142" s="84">
        <v>0</v>
      </c>
      <c r="D142" s="84">
        <v>0</v>
      </c>
      <c r="E142" s="84">
        <v>0</v>
      </c>
      <c r="F142" s="84">
        <v>0</v>
      </c>
      <c r="G142" s="84">
        <f t="shared" si="29"/>
        <v>0</v>
      </c>
    </row>
    <row r="143" spans="1:7" ht="15">
      <c r="A143" s="21" t="s">
        <v>361</v>
      </c>
      <c r="B143" s="84">
        <v>0</v>
      </c>
      <c r="C143" s="84">
        <v>0</v>
      </c>
      <c r="D143" s="84">
        <v>0</v>
      </c>
      <c r="E143" s="84">
        <v>0</v>
      </c>
      <c r="F143" s="84">
        <v>0</v>
      </c>
      <c r="G143" s="84">
        <f t="shared" si="29"/>
        <v>0</v>
      </c>
    </row>
    <row r="144" spans="1:7" ht="15">
      <c r="A144" s="21" t="s">
        <v>362</v>
      </c>
      <c r="B144" s="84">
        <v>0</v>
      </c>
      <c r="C144" s="84">
        <v>0</v>
      </c>
      <c r="D144" s="84">
        <v>0</v>
      </c>
      <c r="E144" s="84">
        <v>0</v>
      </c>
      <c r="F144" s="84">
        <v>0</v>
      </c>
      <c r="G144" s="84">
        <f t="shared" si="29"/>
        <v>0</v>
      </c>
    </row>
    <row r="145" spans="1:7" ht="15">
      <c r="A145" s="20" t="s">
        <v>363</v>
      </c>
      <c r="B145" s="84">
        <f aca="true" t="shared" si="30" ref="B145:G145">SUM(B146:B148)</f>
        <v>1695213975</v>
      </c>
      <c r="C145" s="84">
        <f t="shared" si="30"/>
        <v>117031770.68</v>
      </c>
      <c r="D145" s="84">
        <f t="shared" si="30"/>
        <v>1812245745.68</v>
      </c>
      <c r="E145" s="84">
        <f t="shared" si="30"/>
        <v>499285479.46</v>
      </c>
      <c r="F145" s="84">
        <f t="shared" si="30"/>
        <v>499285479.46</v>
      </c>
      <c r="G145" s="84">
        <f t="shared" si="30"/>
        <v>1312960266.22</v>
      </c>
    </row>
    <row r="146" spans="1:7" ht="15">
      <c r="A146" s="21" t="s">
        <v>364</v>
      </c>
      <c r="B146" s="84">
        <v>0</v>
      </c>
      <c r="C146" s="84">
        <v>0</v>
      </c>
      <c r="D146" s="84">
        <v>0</v>
      </c>
      <c r="E146" s="84">
        <v>0</v>
      </c>
      <c r="F146" s="84">
        <v>0</v>
      </c>
      <c r="G146" s="84">
        <f>D146-E146</f>
        <v>0</v>
      </c>
    </row>
    <row r="147" spans="1:7" ht="15">
      <c r="A147" s="21" t="s">
        <v>365</v>
      </c>
      <c r="B147" s="84">
        <v>1594442011</v>
      </c>
      <c r="C147" s="84">
        <v>102049944</v>
      </c>
      <c r="D147" s="84">
        <v>1696491955</v>
      </c>
      <c r="E147" s="84">
        <v>474156289</v>
      </c>
      <c r="F147" s="84">
        <v>474156289</v>
      </c>
      <c r="G147" s="84">
        <f>D147-E147</f>
        <v>1222335666</v>
      </c>
    </row>
    <row r="148" spans="1:7" ht="15">
      <c r="A148" s="21" t="s">
        <v>366</v>
      </c>
      <c r="B148" s="84">
        <v>100771964</v>
      </c>
      <c r="C148" s="84">
        <v>14981826.68</v>
      </c>
      <c r="D148" s="84">
        <v>115753790.68</v>
      </c>
      <c r="E148" s="84">
        <v>25129190.46</v>
      </c>
      <c r="F148" s="84">
        <v>25129190.46</v>
      </c>
      <c r="G148" s="84">
        <f>D148-E148</f>
        <v>90624600.22</v>
      </c>
    </row>
    <row r="149" spans="1:7" ht="15">
      <c r="A149" s="20" t="s">
        <v>367</v>
      </c>
      <c r="B149" s="84">
        <f aca="true" t="shared" si="31" ref="B149:G149">SUM(B150:B156)</f>
        <v>0</v>
      </c>
      <c r="C149" s="84">
        <f t="shared" si="31"/>
        <v>0</v>
      </c>
      <c r="D149" s="84">
        <f t="shared" si="31"/>
        <v>0</v>
      </c>
      <c r="E149" s="84">
        <f t="shared" si="31"/>
        <v>0</v>
      </c>
      <c r="F149" s="84">
        <f t="shared" si="31"/>
        <v>0</v>
      </c>
      <c r="G149" s="84">
        <f t="shared" si="31"/>
        <v>0</v>
      </c>
    </row>
    <row r="150" spans="1:7" ht="15">
      <c r="A150" s="21" t="s">
        <v>368</v>
      </c>
      <c r="B150" s="84">
        <v>0</v>
      </c>
      <c r="C150" s="84">
        <v>0</v>
      </c>
      <c r="D150" s="84">
        <v>0</v>
      </c>
      <c r="E150" s="84">
        <v>0</v>
      </c>
      <c r="F150" s="84">
        <v>0</v>
      </c>
      <c r="G150" s="84">
        <f>D150-E150</f>
        <v>0</v>
      </c>
    </row>
    <row r="151" spans="1:7" ht="15">
      <c r="A151" s="21" t="s">
        <v>369</v>
      </c>
      <c r="B151" s="84">
        <v>0</v>
      </c>
      <c r="C151" s="84">
        <v>0</v>
      </c>
      <c r="D151" s="84">
        <v>0</v>
      </c>
      <c r="E151" s="84">
        <v>0</v>
      </c>
      <c r="F151" s="84">
        <v>0</v>
      </c>
      <c r="G151" s="84">
        <f aca="true" t="shared" si="32" ref="G151:G156">D151-E151</f>
        <v>0</v>
      </c>
    </row>
    <row r="152" spans="1:7" ht="15">
      <c r="A152" s="21" t="s">
        <v>370</v>
      </c>
      <c r="B152" s="84">
        <v>0</v>
      </c>
      <c r="C152" s="84">
        <v>0</v>
      </c>
      <c r="D152" s="84">
        <v>0</v>
      </c>
      <c r="E152" s="84">
        <v>0</v>
      </c>
      <c r="F152" s="84">
        <v>0</v>
      </c>
      <c r="G152" s="84">
        <f t="shared" si="32"/>
        <v>0</v>
      </c>
    </row>
    <row r="153" spans="1:7" ht="15">
      <c r="A153" s="24" t="s">
        <v>371</v>
      </c>
      <c r="B153" s="84">
        <v>0</v>
      </c>
      <c r="C153" s="84">
        <v>0</v>
      </c>
      <c r="D153" s="84">
        <v>0</v>
      </c>
      <c r="E153" s="84">
        <v>0</v>
      </c>
      <c r="F153" s="84">
        <v>0</v>
      </c>
      <c r="G153" s="84">
        <f t="shared" si="32"/>
        <v>0</v>
      </c>
    </row>
    <row r="154" spans="1:7" ht="15">
      <c r="A154" s="21" t="s">
        <v>372</v>
      </c>
      <c r="B154" s="84">
        <v>0</v>
      </c>
      <c r="C154" s="84">
        <v>0</v>
      </c>
      <c r="D154" s="84">
        <v>0</v>
      </c>
      <c r="E154" s="84">
        <v>0</v>
      </c>
      <c r="F154" s="84">
        <v>0</v>
      </c>
      <c r="G154" s="84">
        <f t="shared" si="32"/>
        <v>0</v>
      </c>
    </row>
    <row r="155" spans="1:7" ht="15">
      <c r="A155" s="21" t="s">
        <v>373</v>
      </c>
      <c r="B155" s="84">
        <v>0</v>
      </c>
      <c r="C155" s="84">
        <v>0</v>
      </c>
      <c r="D155" s="84">
        <v>0</v>
      </c>
      <c r="E155" s="84">
        <v>0</v>
      </c>
      <c r="F155" s="84">
        <v>0</v>
      </c>
      <c r="G155" s="84">
        <f t="shared" si="32"/>
        <v>0</v>
      </c>
    </row>
    <row r="156" spans="1:7" ht="15">
      <c r="A156" s="21" t="s">
        <v>374</v>
      </c>
      <c r="B156" s="84">
        <v>0</v>
      </c>
      <c r="C156" s="84">
        <v>0</v>
      </c>
      <c r="D156" s="84">
        <v>0</v>
      </c>
      <c r="E156" s="84">
        <v>0</v>
      </c>
      <c r="F156" s="84">
        <v>0</v>
      </c>
      <c r="G156" s="84">
        <f t="shared" si="32"/>
        <v>0</v>
      </c>
    </row>
    <row r="157" spans="1:7" ht="15">
      <c r="A157" s="25"/>
      <c r="B157" s="85"/>
      <c r="C157" s="85"/>
      <c r="D157" s="85"/>
      <c r="E157" s="85"/>
      <c r="F157" s="85"/>
      <c r="G157" s="85"/>
    </row>
    <row r="158" spans="1:7" ht="15">
      <c r="A158" s="26" t="s">
        <v>376</v>
      </c>
      <c r="B158" s="86">
        <f aca="true" t="shared" si="33" ref="B158:G158">B9+B83</f>
        <v>22349942786</v>
      </c>
      <c r="C158" s="86">
        <f t="shared" si="33"/>
        <v>907788677.6499999</v>
      </c>
      <c r="D158" s="86">
        <f t="shared" si="33"/>
        <v>23257731463.65</v>
      </c>
      <c r="E158" s="86">
        <f t="shared" si="33"/>
        <v>4851307186.43</v>
      </c>
      <c r="F158" s="86">
        <f t="shared" si="33"/>
        <v>4841571946.83</v>
      </c>
      <c r="G158" s="86">
        <f t="shared" si="33"/>
        <v>18406424277.22</v>
      </c>
    </row>
    <row r="159" spans="1:256" ht="15">
      <c r="A159" s="4"/>
      <c r="B159" s="118"/>
      <c r="C159" s="118"/>
      <c r="D159" s="118"/>
      <c r="E159" s="118"/>
      <c r="F159" s="118"/>
      <c r="G159" s="118"/>
      <c r="IV159" s="124"/>
    </row>
    <row r="160" spans="2:7" ht="15">
      <c r="B160" s="88"/>
      <c r="C160" s="88"/>
      <c r="D160" s="88"/>
      <c r="E160" s="88"/>
      <c r="F160" s="88"/>
      <c r="G160" s="88"/>
    </row>
    <row r="161" ht="15"/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C9:G67 B9:B66 B68:G158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35433070866141736" header="0.31496062992125984" footer="0.31496062992125984"/>
  <pageSetup fitToHeight="2" fitToWidth="1" horizontalDpi="600" verticalDpi="600" orientation="portrait" scale="42" r:id="rId1"/>
  <ignoredErrors>
    <ignoredError sqref="B9:G10 G11:G17 G19:G27 B18:F18 B28:F28 G29:G37 B38:F38 B48:F48 G55:G57 G59:G62 G63:G67 B70:F70 B74:F74 G75:G77 G71:G73 G78:G81 B83:G83 G84:G91 G93:G101 B102:F102 G103:G111 G113:G119 B112:F112 B122:F122 G120:G121 G123:G131 B132:F132 B136:F136 G134:G135 G137:G138 G139:G144 G146:G148 B145:F145 B149:F149 G150:G156 B158:G158 G68:G69 B62:F62 B92:E92" unlockedFormula="1"/>
    <ignoredError sqref="G18 G28 G38 G39:G54 G58 B58:F58 G74 G70 G102 G122 G133 G132 G136 G145 G149 G112 F92:G92 B84:F84" formula="1" unlockedFormula="1"/>
    <ignoredError sqref="B84:F84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1">
      <selection activeCell="E51" sqref="E51"/>
    </sheetView>
  </sheetViews>
  <sheetFormatPr defaultColWidth="0.85546875" defaultRowHeight="15" zeroHeight="1"/>
  <cols>
    <col min="1" max="1" width="59.28125" style="38" customWidth="1"/>
    <col min="2" max="6" width="20.7109375" style="38" customWidth="1"/>
    <col min="7" max="7" width="18.28125" style="38" customWidth="1"/>
    <col min="8" max="255" width="11.421875" style="0" hidden="1" customWidth="1"/>
  </cols>
  <sheetData>
    <row r="1" spans="1:7" ht="21">
      <c r="A1" s="157" t="s">
        <v>377</v>
      </c>
      <c r="B1" s="157"/>
      <c r="C1" s="157"/>
      <c r="D1" s="157"/>
      <c r="E1" s="157"/>
      <c r="F1" s="157"/>
      <c r="G1" s="157"/>
    </row>
    <row r="2" spans="1:7" ht="15">
      <c r="A2" s="135" t="s">
        <v>291</v>
      </c>
      <c r="B2" s="136"/>
      <c r="C2" s="136"/>
      <c r="D2" s="136"/>
      <c r="E2" s="136"/>
      <c r="F2" s="136"/>
      <c r="G2" s="137"/>
    </row>
    <row r="3" spans="1:7" ht="15">
      <c r="A3" s="138" t="s">
        <v>293</v>
      </c>
      <c r="B3" s="139"/>
      <c r="C3" s="139"/>
      <c r="D3" s="139"/>
      <c r="E3" s="139"/>
      <c r="F3" s="139"/>
      <c r="G3" s="140"/>
    </row>
    <row r="4" spans="1:7" ht="15">
      <c r="A4" s="138" t="s">
        <v>378</v>
      </c>
      <c r="B4" s="139"/>
      <c r="C4" s="139"/>
      <c r="D4" s="139"/>
      <c r="E4" s="139"/>
      <c r="F4" s="139"/>
      <c r="G4" s="140"/>
    </row>
    <row r="5" spans="1:7" ht="15">
      <c r="A5" s="141" t="s">
        <v>470</v>
      </c>
      <c r="B5" s="142"/>
      <c r="C5" s="142"/>
      <c r="D5" s="142"/>
      <c r="E5" s="142"/>
      <c r="F5" s="142"/>
      <c r="G5" s="143"/>
    </row>
    <row r="6" spans="1:7" ht="15">
      <c r="A6" s="144" t="s">
        <v>2</v>
      </c>
      <c r="B6" s="145"/>
      <c r="C6" s="145"/>
      <c r="D6" s="145"/>
      <c r="E6" s="145"/>
      <c r="F6" s="145"/>
      <c r="G6" s="146"/>
    </row>
    <row r="7" spans="1:7" ht="15">
      <c r="A7" s="151" t="s">
        <v>4</v>
      </c>
      <c r="B7" s="153" t="s">
        <v>295</v>
      </c>
      <c r="C7" s="153"/>
      <c r="D7" s="153"/>
      <c r="E7" s="153"/>
      <c r="F7" s="153"/>
      <c r="G7" s="156" t="s">
        <v>296</v>
      </c>
    </row>
    <row r="8" spans="1:7" ht="30">
      <c r="A8" s="152"/>
      <c r="B8" s="18" t="s">
        <v>297</v>
      </c>
      <c r="C8" s="6" t="s">
        <v>226</v>
      </c>
      <c r="D8" s="18" t="s">
        <v>227</v>
      </c>
      <c r="E8" s="18" t="s">
        <v>182</v>
      </c>
      <c r="F8" s="18" t="s">
        <v>199</v>
      </c>
      <c r="G8" s="155"/>
    </row>
    <row r="9" spans="1:7" ht="15">
      <c r="A9" s="19" t="s">
        <v>379</v>
      </c>
      <c r="B9" s="105">
        <f>SUM(B10:GASTO_NE_FIN_01)</f>
        <v>11307589765</v>
      </c>
      <c r="C9" s="105">
        <f>SUM(C10:GASTO_NE_FIN_02)</f>
        <v>80966445.06</v>
      </c>
      <c r="D9" s="105">
        <f>SUM(D10:GASTO_NE_FIN_03)</f>
        <v>11388556210.06</v>
      </c>
      <c r="E9" s="105">
        <f>SUM(E10:GASTO_NE_FIN_04)</f>
        <v>2193751589.29</v>
      </c>
      <c r="F9" s="105">
        <f>SUM(F10:cvbcvb)</f>
        <v>2184016349.69</v>
      </c>
      <c r="G9" s="105">
        <f>SUM(G10:GASTO_NE_FIN_06)</f>
        <v>9194804620.77</v>
      </c>
    </row>
    <row r="10" spans="1:7" ht="30">
      <c r="A10" s="81" t="s">
        <v>472</v>
      </c>
      <c r="B10" s="84">
        <v>177822899</v>
      </c>
      <c r="C10" s="84">
        <v>23093139.67</v>
      </c>
      <c r="D10" s="84">
        <v>200916038.67</v>
      </c>
      <c r="E10" s="84">
        <v>28540906.07</v>
      </c>
      <c r="F10" s="84">
        <v>28186465.31</v>
      </c>
      <c r="G10" s="84">
        <f>+D10-E10</f>
        <v>172375132.6</v>
      </c>
    </row>
    <row r="11" spans="1:7" ht="15">
      <c r="A11" s="39" t="s">
        <v>473</v>
      </c>
      <c r="B11" s="84">
        <v>496215443</v>
      </c>
      <c r="C11" s="84">
        <v>3240748.7</v>
      </c>
      <c r="D11" s="84">
        <v>499456191.7</v>
      </c>
      <c r="E11" s="84">
        <v>73235712.05</v>
      </c>
      <c r="F11" s="84">
        <v>71136221.53</v>
      </c>
      <c r="G11" s="129">
        <f aca="true" t="shared" si="0" ref="G11:G35">+D11-E11</f>
        <v>426220479.65</v>
      </c>
    </row>
    <row r="12" spans="1:7" ht="15">
      <c r="A12" s="39" t="s">
        <v>474</v>
      </c>
      <c r="B12" s="84">
        <v>667959852</v>
      </c>
      <c r="C12" s="84">
        <v>-726497.37</v>
      </c>
      <c r="D12" s="84">
        <v>667233354.63</v>
      </c>
      <c r="E12" s="84">
        <v>71442416.48</v>
      </c>
      <c r="F12" s="84">
        <v>69235132.84</v>
      </c>
      <c r="G12" s="129">
        <f t="shared" si="0"/>
        <v>595790938.15</v>
      </c>
    </row>
    <row r="13" spans="1:7" ht="30">
      <c r="A13" s="81" t="s">
        <v>475</v>
      </c>
      <c r="B13" s="84">
        <v>93928779</v>
      </c>
      <c r="C13" s="84">
        <v>300000</v>
      </c>
      <c r="D13" s="84">
        <v>94228779</v>
      </c>
      <c r="E13" s="84">
        <v>10549340.26</v>
      </c>
      <c r="F13" s="84">
        <v>10418836.71</v>
      </c>
      <c r="G13" s="129">
        <f t="shared" si="0"/>
        <v>83679438.74</v>
      </c>
    </row>
    <row r="14" spans="1:7" ht="15">
      <c r="A14" s="39" t="s">
        <v>438</v>
      </c>
      <c r="B14" s="84">
        <v>518906986</v>
      </c>
      <c r="C14" s="84">
        <v>-13635573.14</v>
      </c>
      <c r="D14" s="84">
        <v>505271412.86</v>
      </c>
      <c r="E14" s="84">
        <v>55752162.83</v>
      </c>
      <c r="F14" s="84">
        <v>55248170.6</v>
      </c>
      <c r="G14" s="129">
        <f t="shared" si="0"/>
        <v>449519250.03000003</v>
      </c>
    </row>
    <row r="15" spans="1:7" ht="15">
      <c r="A15" s="39" t="s">
        <v>439</v>
      </c>
      <c r="B15" s="84">
        <v>298897055</v>
      </c>
      <c r="C15" s="84">
        <v>-497396.34</v>
      </c>
      <c r="D15" s="84">
        <v>298399658.66</v>
      </c>
      <c r="E15" s="84">
        <v>57974232.66</v>
      </c>
      <c r="F15" s="84">
        <v>57562785.13</v>
      </c>
      <c r="G15" s="129">
        <f t="shared" si="0"/>
        <v>240425426.00000003</v>
      </c>
    </row>
    <row r="16" spans="1:7" ht="30">
      <c r="A16" s="81" t="s">
        <v>476</v>
      </c>
      <c r="B16" s="84">
        <v>343957234</v>
      </c>
      <c r="C16" s="84">
        <v>2554778.18</v>
      </c>
      <c r="D16" s="84">
        <v>346512012.18</v>
      </c>
      <c r="E16" s="84">
        <v>39811240.89</v>
      </c>
      <c r="F16" s="84">
        <v>39571202.01</v>
      </c>
      <c r="G16" s="129">
        <f t="shared" si="0"/>
        <v>306700771.29</v>
      </c>
    </row>
    <row r="17" spans="1:7" ht="15">
      <c r="A17" s="39" t="s">
        <v>440</v>
      </c>
      <c r="B17" s="84">
        <v>77773233</v>
      </c>
      <c r="C17" s="84">
        <v>122152.83</v>
      </c>
      <c r="D17" s="84">
        <v>77895385.83</v>
      </c>
      <c r="E17" s="84">
        <v>7868209.88</v>
      </c>
      <c r="F17" s="84">
        <v>7773750.2</v>
      </c>
      <c r="G17" s="129">
        <f t="shared" si="0"/>
        <v>70027175.95</v>
      </c>
    </row>
    <row r="18" spans="1:7" ht="15">
      <c r="A18" s="39" t="s">
        <v>477</v>
      </c>
      <c r="B18" s="84">
        <v>156314807</v>
      </c>
      <c r="C18" s="84">
        <v>144031.6</v>
      </c>
      <c r="D18" s="84">
        <v>156458838.6</v>
      </c>
      <c r="E18" s="84">
        <v>12502682.68</v>
      </c>
      <c r="F18" s="84">
        <v>12398254.26</v>
      </c>
      <c r="G18" s="129">
        <f t="shared" si="0"/>
        <v>143956155.92</v>
      </c>
    </row>
    <row r="19" spans="1:7" ht="15">
      <c r="A19" s="39" t="s">
        <v>478</v>
      </c>
      <c r="B19" s="84">
        <v>189647546</v>
      </c>
      <c r="C19" s="84">
        <v>2687005.62</v>
      </c>
      <c r="D19" s="84">
        <v>192334551.62</v>
      </c>
      <c r="E19" s="84">
        <v>15418955.83</v>
      </c>
      <c r="F19" s="84">
        <v>15287617.27</v>
      </c>
      <c r="G19" s="129">
        <f t="shared" si="0"/>
        <v>176915595.79</v>
      </c>
    </row>
    <row r="20" spans="1:7" ht="15">
      <c r="A20" s="39" t="s">
        <v>479</v>
      </c>
      <c r="B20" s="84">
        <v>24329275</v>
      </c>
      <c r="C20" s="84">
        <v>381989</v>
      </c>
      <c r="D20" s="84">
        <v>24711264</v>
      </c>
      <c r="E20" s="84">
        <v>2815794.33</v>
      </c>
      <c r="F20" s="84">
        <v>2792702.57</v>
      </c>
      <c r="G20" s="129">
        <f t="shared" si="0"/>
        <v>21895469.67</v>
      </c>
    </row>
    <row r="21" spans="1:7" ht="30">
      <c r="A21" s="81" t="s">
        <v>480</v>
      </c>
      <c r="B21" s="84">
        <v>120002765</v>
      </c>
      <c r="C21" s="84">
        <v>314479.68</v>
      </c>
      <c r="D21" s="84">
        <v>120317244.68</v>
      </c>
      <c r="E21" s="84">
        <v>6728212.63</v>
      </c>
      <c r="F21" s="84">
        <v>6679586.01</v>
      </c>
      <c r="G21" s="129">
        <f t="shared" si="0"/>
        <v>113589032.05000001</v>
      </c>
    </row>
    <row r="22" spans="1:7" ht="15">
      <c r="A22" s="39" t="s">
        <v>441</v>
      </c>
      <c r="B22" s="84">
        <v>69649900</v>
      </c>
      <c r="C22" s="84">
        <v>440169.07</v>
      </c>
      <c r="D22" s="84">
        <v>70090069.07</v>
      </c>
      <c r="E22" s="84">
        <v>11954894.6</v>
      </c>
      <c r="F22" s="84">
        <v>11545716.42</v>
      </c>
      <c r="G22" s="129">
        <f t="shared" si="0"/>
        <v>58135174.46999999</v>
      </c>
    </row>
    <row r="23" spans="1:7" ht="15">
      <c r="A23" s="39" t="s">
        <v>481</v>
      </c>
      <c r="B23" s="84">
        <v>615294218</v>
      </c>
      <c r="C23" s="84">
        <v>-1283252.51</v>
      </c>
      <c r="D23" s="84">
        <v>614010965.49</v>
      </c>
      <c r="E23" s="84">
        <v>101518527.21</v>
      </c>
      <c r="F23" s="84">
        <v>100251855.24</v>
      </c>
      <c r="G23" s="129">
        <f t="shared" si="0"/>
        <v>512492438.28000003</v>
      </c>
    </row>
    <row r="24" spans="1:7" ht="15">
      <c r="A24" s="39" t="s">
        <v>442</v>
      </c>
      <c r="B24" s="84">
        <v>90271455</v>
      </c>
      <c r="C24" s="84">
        <v>3680504.73</v>
      </c>
      <c r="D24" s="84">
        <v>93951959.73</v>
      </c>
      <c r="E24" s="84">
        <v>8971830.52</v>
      </c>
      <c r="F24" s="84">
        <v>8867892.09</v>
      </c>
      <c r="G24" s="129">
        <f t="shared" si="0"/>
        <v>84980129.21000001</v>
      </c>
    </row>
    <row r="25" spans="1:7" ht="15">
      <c r="A25" s="39" t="s">
        <v>443</v>
      </c>
      <c r="B25" s="84">
        <v>34952379</v>
      </c>
      <c r="C25" s="84">
        <v>589300</v>
      </c>
      <c r="D25" s="84">
        <v>35541679</v>
      </c>
      <c r="E25" s="84">
        <v>4631327.62</v>
      </c>
      <c r="F25" s="84">
        <v>4606823.5</v>
      </c>
      <c r="G25" s="129">
        <f t="shared" si="0"/>
        <v>30910351.38</v>
      </c>
    </row>
    <row r="26" spans="1:7" ht="15">
      <c r="A26" s="39" t="s">
        <v>482</v>
      </c>
      <c r="B26" s="84">
        <v>71130029</v>
      </c>
      <c r="C26" s="84">
        <v>7922.42</v>
      </c>
      <c r="D26" s="84">
        <v>71137951.42</v>
      </c>
      <c r="E26" s="84">
        <v>14910765.87</v>
      </c>
      <c r="F26" s="84">
        <v>14796257.55</v>
      </c>
      <c r="G26" s="129">
        <f t="shared" si="0"/>
        <v>56227185.550000004</v>
      </c>
    </row>
    <row r="27" spans="1:7" ht="15">
      <c r="A27" s="39" t="s">
        <v>444</v>
      </c>
      <c r="B27" s="84">
        <v>411412034</v>
      </c>
      <c r="C27" s="84">
        <v>4421539.56</v>
      </c>
      <c r="D27" s="84">
        <v>415833573.56</v>
      </c>
      <c r="E27" s="84">
        <v>61208002.87</v>
      </c>
      <c r="F27" s="84">
        <v>60561627.34</v>
      </c>
      <c r="G27" s="129">
        <f t="shared" si="0"/>
        <v>354625570.69</v>
      </c>
    </row>
    <row r="28" spans="1:7" ht="15">
      <c r="A28" s="39" t="s">
        <v>461</v>
      </c>
      <c r="B28" s="84">
        <v>169916369</v>
      </c>
      <c r="C28" s="84">
        <v>0</v>
      </c>
      <c r="D28" s="84">
        <v>169916369</v>
      </c>
      <c r="E28" s="84">
        <v>0</v>
      </c>
      <c r="F28" s="84">
        <v>0</v>
      </c>
      <c r="G28" s="129">
        <f t="shared" si="0"/>
        <v>169916369</v>
      </c>
    </row>
    <row r="29" spans="1:7" ht="15">
      <c r="A29" s="39" t="s">
        <v>445</v>
      </c>
      <c r="B29" s="84">
        <v>273144349</v>
      </c>
      <c r="C29" s="84">
        <v>0</v>
      </c>
      <c r="D29" s="84">
        <v>273144349</v>
      </c>
      <c r="E29" s="84">
        <v>57674305.09</v>
      </c>
      <c r="F29" s="84">
        <v>57674305.09</v>
      </c>
      <c r="G29" s="129">
        <f t="shared" si="0"/>
        <v>215470043.91</v>
      </c>
    </row>
    <row r="30" spans="1:7" ht="15">
      <c r="A30" s="39" t="s">
        <v>446</v>
      </c>
      <c r="B30" s="84">
        <v>247532125</v>
      </c>
      <c r="C30" s="84">
        <v>36980</v>
      </c>
      <c r="D30" s="84">
        <v>247569105</v>
      </c>
      <c r="E30" s="84">
        <v>62473167</v>
      </c>
      <c r="F30" s="84">
        <v>62473167</v>
      </c>
      <c r="G30" s="129">
        <f t="shared" si="0"/>
        <v>185095938</v>
      </c>
    </row>
    <row r="31" spans="1:7" ht="15">
      <c r="A31" s="39" t="s">
        <v>447</v>
      </c>
      <c r="B31" s="84">
        <v>329565020</v>
      </c>
      <c r="C31" s="84">
        <v>0</v>
      </c>
      <c r="D31" s="84">
        <v>329565020</v>
      </c>
      <c r="E31" s="84">
        <v>82641247</v>
      </c>
      <c r="F31" s="84">
        <v>82641247</v>
      </c>
      <c r="G31" s="129">
        <f t="shared" si="0"/>
        <v>246923773</v>
      </c>
    </row>
    <row r="32" spans="1:7" ht="15">
      <c r="A32" s="39" t="s">
        <v>448</v>
      </c>
      <c r="B32" s="128">
        <v>276083515</v>
      </c>
      <c r="C32" s="128">
        <v>0</v>
      </c>
      <c r="D32" s="128">
        <v>276083515</v>
      </c>
      <c r="E32" s="128">
        <v>64920862</v>
      </c>
      <c r="F32" s="128">
        <v>64920862</v>
      </c>
      <c r="G32" s="129">
        <f t="shared" si="0"/>
        <v>211162653</v>
      </c>
    </row>
    <row r="33" spans="1:7" ht="15">
      <c r="A33" s="39" t="s">
        <v>449</v>
      </c>
      <c r="B33" s="84">
        <v>2700654341</v>
      </c>
      <c r="C33" s="84">
        <v>-1129374.06</v>
      </c>
      <c r="D33" s="84">
        <v>2699524966.94</v>
      </c>
      <c r="E33" s="84">
        <v>595649052.24</v>
      </c>
      <c r="F33" s="84">
        <v>594828131.34</v>
      </c>
      <c r="G33" s="129">
        <f t="shared" si="0"/>
        <v>2103875914.7</v>
      </c>
    </row>
    <row r="34" spans="1:7" ht="15">
      <c r="A34" s="39" t="s">
        <v>450</v>
      </c>
      <c r="B34" s="84">
        <v>47151000</v>
      </c>
      <c r="C34" s="84">
        <v>0</v>
      </c>
      <c r="D34" s="84">
        <v>47151000</v>
      </c>
      <c r="E34" s="84">
        <v>9490000</v>
      </c>
      <c r="F34" s="84">
        <v>9490000</v>
      </c>
      <c r="G34" s="129">
        <f t="shared" si="0"/>
        <v>37661000</v>
      </c>
    </row>
    <row r="35" spans="1:7" ht="15">
      <c r="A35" s="39" t="s">
        <v>451</v>
      </c>
      <c r="B35" s="84">
        <v>2805077157</v>
      </c>
      <c r="C35" s="84">
        <v>56223797.42</v>
      </c>
      <c r="D35" s="84">
        <v>2861300954.42</v>
      </c>
      <c r="E35" s="84">
        <v>735067740.68</v>
      </c>
      <c r="F35" s="84">
        <v>735067740.68</v>
      </c>
      <c r="G35" s="129">
        <f t="shared" si="0"/>
        <v>2126233213.7400002</v>
      </c>
    </row>
    <row r="36" spans="1:7" ht="15">
      <c r="A36" s="40" t="s">
        <v>146</v>
      </c>
      <c r="B36" s="85"/>
      <c r="C36" s="85"/>
      <c r="D36" s="85"/>
      <c r="E36" s="85"/>
      <c r="F36" s="85"/>
      <c r="G36" s="85"/>
    </row>
    <row r="37" spans="1:7" ht="15">
      <c r="A37" s="23" t="s">
        <v>380</v>
      </c>
      <c r="B37" s="86">
        <f>SUM(B38:cbvbcvbcv)</f>
        <v>11042353021</v>
      </c>
      <c r="C37" s="86">
        <f>SUM(C38:GASTO_E_FIN_02)</f>
        <v>826822232.5899999</v>
      </c>
      <c r="D37" s="86">
        <f>SUM(D38:cvbcvbcbv)</f>
        <v>11869175253.59</v>
      </c>
      <c r="E37" s="86">
        <f>SUM(E38:GASTO_E_FIN_04)</f>
        <v>2657555597.1400003</v>
      </c>
      <c r="F37" s="86">
        <f>SUM(F38:GASTO_E_FIN_05)</f>
        <v>2657555597.1400003</v>
      </c>
      <c r="G37" s="86">
        <f>SUM(G38:GASTO_E_FIN_06)</f>
        <v>9211619656.449999</v>
      </c>
    </row>
    <row r="38" spans="1:7" ht="15">
      <c r="A38" s="39" t="s">
        <v>473</v>
      </c>
      <c r="B38" s="84">
        <v>79708495</v>
      </c>
      <c r="C38" s="84">
        <v>-5271927.93</v>
      </c>
      <c r="D38" s="84">
        <v>74436567.07</v>
      </c>
      <c r="E38" s="84">
        <v>6729043.4</v>
      </c>
      <c r="F38" s="84">
        <v>6729043.4</v>
      </c>
      <c r="G38" s="84">
        <f aca="true" t="shared" si="1" ref="G38:G43">D38-E38</f>
        <v>67707523.66999999</v>
      </c>
    </row>
    <row r="39" spans="1:7" ht="15">
      <c r="A39" s="39" t="s">
        <v>438</v>
      </c>
      <c r="B39" s="84">
        <v>4914170123</v>
      </c>
      <c r="C39" s="84">
        <v>31755278.48</v>
      </c>
      <c r="D39" s="84">
        <v>4945925401.48</v>
      </c>
      <c r="E39" s="84">
        <v>1103386745.26</v>
      </c>
      <c r="F39" s="84">
        <v>1103386745.26</v>
      </c>
      <c r="G39" s="84">
        <f t="shared" si="1"/>
        <v>3842538656.2199993</v>
      </c>
    </row>
    <row r="40" spans="1:7" ht="30">
      <c r="A40" s="81" t="s">
        <v>476</v>
      </c>
      <c r="B40" s="84">
        <v>407523591</v>
      </c>
      <c r="C40" s="84">
        <v>12724587.96</v>
      </c>
      <c r="D40" s="84">
        <v>420248178.96</v>
      </c>
      <c r="E40" s="84">
        <v>12724587.96</v>
      </c>
      <c r="F40" s="84">
        <v>12724587.96</v>
      </c>
      <c r="G40" s="84">
        <f t="shared" si="1"/>
        <v>407523591</v>
      </c>
    </row>
    <row r="41" spans="1:7" ht="15">
      <c r="A41" s="39" t="s">
        <v>440</v>
      </c>
      <c r="B41" s="84">
        <v>15000000</v>
      </c>
      <c r="C41" s="84">
        <v>0</v>
      </c>
      <c r="D41" s="84">
        <v>15000000</v>
      </c>
      <c r="E41" s="84">
        <v>0</v>
      </c>
      <c r="F41" s="84">
        <v>0</v>
      </c>
      <c r="G41" s="84">
        <f t="shared" si="1"/>
        <v>15000000</v>
      </c>
    </row>
    <row r="42" spans="1:7" ht="15">
      <c r="A42" s="39" t="s">
        <v>477</v>
      </c>
      <c r="B42" s="84">
        <v>38000000</v>
      </c>
      <c r="C42" s="84">
        <v>0</v>
      </c>
      <c r="D42" s="84">
        <v>38000000</v>
      </c>
      <c r="E42" s="84">
        <v>0</v>
      </c>
      <c r="F42" s="84">
        <v>0</v>
      </c>
      <c r="G42" s="84">
        <f t="shared" si="1"/>
        <v>38000000</v>
      </c>
    </row>
    <row r="43" spans="1:7" ht="15">
      <c r="A43" s="39" t="s">
        <v>478</v>
      </c>
      <c r="B43" s="84">
        <v>52464666</v>
      </c>
      <c r="C43" s="84">
        <v>0</v>
      </c>
      <c r="D43" s="84">
        <v>52464666</v>
      </c>
      <c r="E43" s="84">
        <v>0</v>
      </c>
      <c r="F43" s="84">
        <v>0</v>
      </c>
      <c r="G43" s="84">
        <f t="shared" si="1"/>
        <v>52464666</v>
      </c>
    </row>
    <row r="44" spans="1:7" ht="30">
      <c r="A44" s="81" t="s">
        <v>480</v>
      </c>
      <c r="B44" s="84">
        <v>50000000</v>
      </c>
      <c r="C44" s="84">
        <v>0</v>
      </c>
      <c r="D44" s="84">
        <v>50000000</v>
      </c>
      <c r="E44" s="84">
        <v>0</v>
      </c>
      <c r="F44" s="84">
        <v>0</v>
      </c>
      <c r="G44" s="84">
        <f aca="true" t="shared" si="2" ref="G44:G49">D44-E44</f>
        <v>50000000</v>
      </c>
    </row>
    <row r="45" spans="1:7" ht="15">
      <c r="A45" s="39" t="s">
        <v>481</v>
      </c>
      <c r="B45" s="84">
        <v>68737832</v>
      </c>
      <c r="C45" s="84">
        <v>17419860.95</v>
      </c>
      <c r="D45" s="84">
        <v>86157692.95</v>
      </c>
      <c r="E45" s="84">
        <v>5345836.61</v>
      </c>
      <c r="F45" s="84">
        <v>5345836.61</v>
      </c>
      <c r="G45" s="84">
        <f t="shared" si="2"/>
        <v>80811856.34</v>
      </c>
    </row>
    <row r="46" spans="1:7" ht="15">
      <c r="A46" s="39" t="s">
        <v>442</v>
      </c>
      <c r="B46" s="84">
        <v>30000000</v>
      </c>
      <c r="C46" s="84">
        <v>0</v>
      </c>
      <c r="D46" s="84">
        <v>30000000</v>
      </c>
      <c r="E46" s="84">
        <v>0</v>
      </c>
      <c r="F46" s="84">
        <v>0</v>
      </c>
      <c r="G46" s="84">
        <f t="shared" si="2"/>
        <v>30000000</v>
      </c>
    </row>
    <row r="47" spans="1:7" ht="15">
      <c r="A47" s="39" t="s">
        <v>444</v>
      </c>
      <c r="B47" s="84">
        <v>43506250</v>
      </c>
      <c r="C47" s="84">
        <v>2015019.14</v>
      </c>
      <c r="D47" s="84">
        <v>45521269.14</v>
      </c>
      <c r="E47" s="84">
        <v>2015019.14</v>
      </c>
      <c r="F47" s="84">
        <v>2015019.14</v>
      </c>
      <c r="G47" s="84">
        <f t="shared" si="2"/>
        <v>43506250</v>
      </c>
    </row>
    <row r="48" spans="1:7" ht="15">
      <c r="A48" s="39" t="s">
        <v>449</v>
      </c>
      <c r="B48" s="84">
        <v>3651028089</v>
      </c>
      <c r="C48" s="84">
        <v>657998340.31</v>
      </c>
      <c r="D48" s="84">
        <v>4309026429.31</v>
      </c>
      <c r="E48" s="84">
        <v>1029781558.31</v>
      </c>
      <c r="F48" s="84">
        <v>1029781558.31</v>
      </c>
      <c r="G48" s="84">
        <f t="shared" si="2"/>
        <v>3279244871.0000005</v>
      </c>
    </row>
    <row r="49" spans="1:7" ht="15">
      <c r="A49" s="39" t="s">
        <v>451</v>
      </c>
      <c r="B49" s="84">
        <v>1692213975</v>
      </c>
      <c r="C49" s="84">
        <v>110181073.68</v>
      </c>
      <c r="D49" s="84">
        <v>1802395048.68</v>
      </c>
      <c r="E49" s="84">
        <v>497572806.46</v>
      </c>
      <c r="F49" s="84">
        <v>497572806.46</v>
      </c>
      <c r="G49" s="129">
        <f t="shared" si="2"/>
        <v>1304822242.22</v>
      </c>
    </row>
    <row r="50" spans="1:7" ht="15">
      <c r="A50" s="40" t="s">
        <v>146</v>
      </c>
      <c r="B50" s="29"/>
      <c r="C50" s="29"/>
      <c r="D50" s="29"/>
      <c r="E50" s="29"/>
      <c r="F50" s="29"/>
      <c r="G50" s="29"/>
    </row>
    <row r="51" spans="1:7" ht="15">
      <c r="A51" s="23" t="s">
        <v>376</v>
      </c>
      <c r="B51" s="86">
        <f>GASTO_NE_T1+vcvcbvcbcvb</f>
        <v>22349942786</v>
      </c>
      <c r="C51" s="86">
        <f>cvbvcbcbvbc+cvbcbvbcvbvc</f>
        <v>907788677.6499999</v>
      </c>
      <c r="D51" s="86">
        <f>vcbvbcbdfgfdg+GASTO_E_T3</f>
        <v>23257731463.65</v>
      </c>
      <c r="E51" s="86">
        <f>GASTO_NE_T4+GASTO_E_T4</f>
        <v>4851307186.43</v>
      </c>
      <c r="F51" s="86">
        <f>GASTO_NE_T5+GASTO_E_T5</f>
        <v>4841571946.83</v>
      </c>
      <c r="G51" s="86">
        <f>GASTO_NE_T6+GASTO_E_T6</f>
        <v>18406424277.22</v>
      </c>
    </row>
    <row r="52" spans="1:7" ht="15">
      <c r="A52" s="35"/>
      <c r="B52" s="119"/>
      <c r="C52" s="119"/>
      <c r="D52" s="119"/>
      <c r="E52" s="119"/>
      <c r="F52" s="119"/>
      <c r="G52" s="119"/>
    </row>
    <row r="53" spans="1:7" ht="15" hidden="1">
      <c r="A53"/>
      <c r="B53"/>
      <c r="C53"/>
      <c r="D53"/>
      <c r="E53"/>
      <c r="F53"/>
      <c r="G53"/>
    </row>
    <row r="54" spans="1:7" ht="15" hidden="1">
      <c r="A54"/>
      <c r="B54"/>
      <c r="C54"/>
      <c r="D54"/>
      <c r="E54"/>
      <c r="F54"/>
      <c r="G54"/>
    </row>
    <row r="55" spans="1:7" ht="15" hidden="1">
      <c r="A55"/>
      <c r="B55"/>
      <c r="C55"/>
      <c r="D55"/>
      <c r="E55"/>
      <c r="F55"/>
      <c r="G55"/>
    </row>
    <row r="56" spans="1:7" ht="15" hidden="1">
      <c r="A56"/>
      <c r="B56"/>
      <c r="C56"/>
      <c r="D56"/>
      <c r="E56"/>
      <c r="F56"/>
      <c r="G56"/>
    </row>
    <row r="57" spans="1:7" ht="15" hidden="1">
      <c r="A57"/>
      <c r="B57"/>
      <c r="C57"/>
      <c r="D57"/>
      <c r="E57"/>
      <c r="F57"/>
      <c r="G57"/>
    </row>
    <row r="58" spans="1:7" ht="15" hidden="1">
      <c r="A58"/>
      <c r="B58"/>
      <c r="C58"/>
      <c r="D58"/>
      <c r="E58"/>
      <c r="F58"/>
      <c r="G58"/>
    </row>
    <row r="59" spans="1:7" ht="15" hidden="1">
      <c r="A59"/>
      <c r="B59"/>
      <c r="C59"/>
      <c r="D59"/>
      <c r="E59"/>
      <c r="F59"/>
      <c r="G59"/>
    </row>
    <row r="60" spans="1:7" ht="15" hidden="1">
      <c r="A60"/>
      <c r="B60"/>
      <c r="C60"/>
      <c r="D60"/>
      <c r="E60"/>
      <c r="F60"/>
      <c r="G60"/>
    </row>
    <row r="61" spans="1:7" ht="15" hidden="1">
      <c r="A61"/>
      <c r="B61"/>
      <c r="C61"/>
      <c r="D61"/>
      <c r="E61"/>
      <c r="F61"/>
      <c r="G61"/>
    </row>
    <row r="62" spans="1:7" ht="15" hidden="1">
      <c r="A62"/>
      <c r="B62"/>
      <c r="C62"/>
      <c r="D62"/>
      <c r="E62"/>
      <c r="F62"/>
      <c r="G62"/>
    </row>
    <row r="63" spans="1:7" ht="15" hidden="1">
      <c r="A63"/>
      <c r="B63"/>
      <c r="C63"/>
      <c r="D63"/>
      <c r="E63"/>
      <c r="F63"/>
      <c r="G63"/>
    </row>
    <row r="64" spans="1:7" ht="15" hidden="1">
      <c r="A64"/>
      <c r="B64"/>
      <c r="C64"/>
      <c r="D64"/>
      <c r="E64"/>
      <c r="F64"/>
      <c r="G64"/>
    </row>
    <row r="65" spans="1:7" ht="15" hidden="1">
      <c r="A65"/>
      <c r="B65"/>
      <c r="C65"/>
      <c r="D65"/>
      <c r="E65"/>
      <c r="F65"/>
      <c r="G65"/>
    </row>
    <row r="66" spans="1:7" ht="15" hidden="1">
      <c r="A66"/>
      <c r="B66"/>
      <c r="C66"/>
      <c r="D66"/>
      <c r="E66"/>
      <c r="F66"/>
      <c r="G66"/>
    </row>
    <row r="67" spans="1:7" ht="15" hidden="1">
      <c r="A67"/>
      <c r="B67"/>
      <c r="C67"/>
      <c r="D67"/>
      <c r="E67"/>
      <c r="F67"/>
      <c r="G67"/>
    </row>
    <row r="68" ht="15"/>
    <row r="69" ht="15" hidden="1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51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35433070866141736" header="0.31496062992125984" footer="0.31496062992125984"/>
  <pageSetup fitToHeight="5" fitToWidth="1" horizontalDpi="600" verticalDpi="600" orientation="portrait" scale="52" r:id="rId1"/>
  <ignoredErrors>
    <ignoredError sqref="B37:F37 B51:G51 B9:G9 G37:G48 G49 G10:G35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8"/>
  <sheetViews>
    <sheetView zoomScalePageLayoutView="0" workbookViewId="0" topLeftCell="A1">
      <selection activeCell="D16" sqref="D16"/>
    </sheetView>
  </sheetViews>
  <sheetFormatPr defaultColWidth="0.71875" defaultRowHeight="15" zeroHeight="1"/>
  <cols>
    <col min="1" max="1" width="74.57421875" style="38" customWidth="1"/>
    <col min="2" max="6" width="20.7109375" style="38" customWidth="1"/>
    <col min="7" max="7" width="17.8515625" style="38" bestFit="1" customWidth="1"/>
    <col min="8" max="255" width="11.421875" style="0" hidden="1" customWidth="1"/>
  </cols>
  <sheetData>
    <row r="1" spans="1:7" ht="21">
      <c r="A1" s="160" t="s">
        <v>381</v>
      </c>
      <c r="B1" s="150"/>
      <c r="C1" s="150"/>
      <c r="D1" s="150"/>
      <c r="E1" s="150"/>
      <c r="F1" s="150"/>
      <c r="G1" s="150"/>
    </row>
    <row r="2" spans="1:7" ht="15">
      <c r="A2" s="135" t="s">
        <v>291</v>
      </c>
      <c r="B2" s="136"/>
      <c r="C2" s="136"/>
      <c r="D2" s="136"/>
      <c r="E2" s="136"/>
      <c r="F2" s="136"/>
      <c r="G2" s="137"/>
    </row>
    <row r="3" spans="1:7" ht="15">
      <c r="A3" s="138" t="s">
        <v>382</v>
      </c>
      <c r="B3" s="139"/>
      <c r="C3" s="139"/>
      <c r="D3" s="139"/>
      <c r="E3" s="139"/>
      <c r="F3" s="139"/>
      <c r="G3" s="140"/>
    </row>
    <row r="4" spans="1:7" ht="15">
      <c r="A4" s="138" t="s">
        <v>383</v>
      </c>
      <c r="B4" s="139"/>
      <c r="C4" s="139"/>
      <c r="D4" s="139"/>
      <c r="E4" s="139"/>
      <c r="F4" s="139"/>
      <c r="G4" s="140"/>
    </row>
    <row r="5" spans="1:7" ht="15">
      <c r="A5" s="141" t="s">
        <v>470</v>
      </c>
      <c r="B5" s="142"/>
      <c r="C5" s="142"/>
      <c r="D5" s="142"/>
      <c r="E5" s="142"/>
      <c r="F5" s="142"/>
      <c r="G5" s="143"/>
    </row>
    <row r="6" spans="1:7" ht="15">
      <c r="A6" s="144" t="s">
        <v>2</v>
      </c>
      <c r="B6" s="145"/>
      <c r="C6" s="145"/>
      <c r="D6" s="145"/>
      <c r="E6" s="145"/>
      <c r="F6" s="145"/>
      <c r="G6" s="146"/>
    </row>
    <row r="7" spans="1:7" ht="15">
      <c r="A7" s="151" t="s">
        <v>4</v>
      </c>
      <c r="B7" s="144" t="s">
        <v>295</v>
      </c>
      <c r="C7" s="145"/>
      <c r="D7" s="145"/>
      <c r="E7" s="145"/>
      <c r="F7" s="146"/>
      <c r="G7" s="156" t="s">
        <v>384</v>
      </c>
    </row>
    <row r="8" spans="1:7" ht="30">
      <c r="A8" s="152"/>
      <c r="B8" s="18" t="s">
        <v>297</v>
      </c>
      <c r="C8" s="6" t="s">
        <v>385</v>
      </c>
      <c r="D8" s="18" t="s">
        <v>299</v>
      </c>
      <c r="E8" s="18" t="s">
        <v>182</v>
      </c>
      <c r="F8" s="30" t="s">
        <v>199</v>
      </c>
      <c r="G8" s="155"/>
    </row>
    <row r="9" spans="1:7" ht="15">
      <c r="A9" s="19" t="s">
        <v>386</v>
      </c>
      <c r="B9" s="106">
        <f aca="true" t="shared" si="0" ref="B9:G9">SUM(B10,B19,B27,B37)</f>
        <v>11307589765</v>
      </c>
      <c r="C9" s="106">
        <f t="shared" si="0"/>
        <v>80966445.06</v>
      </c>
      <c r="D9" s="106">
        <f t="shared" si="0"/>
        <v>11388556210.060001</v>
      </c>
      <c r="E9" s="106">
        <f t="shared" si="0"/>
        <v>2193751589.29</v>
      </c>
      <c r="F9" s="106">
        <f t="shared" si="0"/>
        <v>2184016349.6899996</v>
      </c>
      <c r="G9" s="106">
        <f t="shared" si="0"/>
        <v>9194804620.77</v>
      </c>
    </row>
    <row r="10" spans="1:7" ht="15">
      <c r="A10" s="20" t="s">
        <v>387</v>
      </c>
      <c r="B10" s="107">
        <f aca="true" t="shared" si="1" ref="B10:G10">SUM(B11:B18)</f>
        <v>3797791986</v>
      </c>
      <c r="C10" s="107">
        <f t="shared" si="1"/>
        <v>33791903.55</v>
      </c>
      <c r="D10" s="107">
        <f t="shared" si="1"/>
        <v>3831583889.55</v>
      </c>
      <c r="E10" s="107">
        <f t="shared" si="1"/>
        <v>602660195.64</v>
      </c>
      <c r="F10" s="107">
        <f t="shared" si="1"/>
        <v>595600012.24</v>
      </c>
      <c r="G10" s="107">
        <f t="shared" si="1"/>
        <v>3228923693.9100003</v>
      </c>
    </row>
    <row r="11" spans="1:7" ht="15">
      <c r="A11" s="21" t="s">
        <v>388</v>
      </c>
      <c r="B11" s="107">
        <v>247532125</v>
      </c>
      <c r="C11" s="107">
        <v>36980</v>
      </c>
      <c r="D11" s="107">
        <v>247569105</v>
      </c>
      <c r="E11" s="107">
        <v>62473167</v>
      </c>
      <c r="F11" s="107">
        <v>62473167</v>
      </c>
      <c r="G11" s="107">
        <f>D11-E11</f>
        <v>185095938</v>
      </c>
    </row>
    <row r="12" spans="1:7" ht="15">
      <c r="A12" s="21" t="s">
        <v>389</v>
      </c>
      <c r="B12" s="107">
        <v>1027098570</v>
      </c>
      <c r="C12" s="107">
        <v>1321299.05</v>
      </c>
      <c r="D12" s="107">
        <v>1028419869.05</v>
      </c>
      <c r="E12" s="107">
        <v>196245133.3</v>
      </c>
      <c r="F12" s="107">
        <v>193778762.64</v>
      </c>
      <c r="G12" s="107">
        <f aca="true" t="shared" si="2" ref="G12:G18">D12-E12</f>
        <v>832174735.75</v>
      </c>
    </row>
    <row r="13" spans="1:7" ht="15">
      <c r="A13" s="21" t="s">
        <v>390</v>
      </c>
      <c r="B13" s="107">
        <v>777509044</v>
      </c>
      <c r="C13" s="107">
        <v>23857722.37</v>
      </c>
      <c r="D13" s="107">
        <v>801366766.37</v>
      </c>
      <c r="E13" s="107">
        <v>126034713.93</v>
      </c>
      <c r="F13" s="107">
        <v>125293305.27</v>
      </c>
      <c r="G13" s="107">
        <f t="shared" si="2"/>
        <v>675332052.44</v>
      </c>
    </row>
    <row r="14" spans="1:7" ht="15">
      <c r="A14" s="21" t="s">
        <v>391</v>
      </c>
      <c r="B14" s="107">
        <v>0</v>
      </c>
      <c r="C14" s="107">
        <v>0</v>
      </c>
      <c r="D14" s="107">
        <v>0</v>
      </c>
      <c r="E14" s="107">
        <v>0</v>
      </c>
      <c r="F14" s="107">
        <v>0</v>
      </c>
      <c r="G14" s="107">
        <f t="shared" si="2"/>
        <v>0</v>
      </c>
    </row>
    <row r="15" spans="1:7" ht="15">
      <c r="A15" s="21" t="s">
        <v>392</v>
      </c>
      <c r="B15" s="107">
        <v>666933629</v>
      </c>
      <c r="C15" s="107">
        <v>2364003.63</v>
      </c>
      <c r="D15" s="107">
        <v>669297632.63</v>
      </c>
      <c r="E15" s="107">
        <v>45108564.5</v>
      </c>
      <c r="F15" s="107">
        <v>43185678.23</v>
      </c>
      <c r="G15" s="107">
        <f t="shared" si="2"/>
        <v>624189068.13</v>
      </c>
    </row>
    <row r="16" spans="1:7" ht="15">
      <c r="A16" s="21" t="s">
        <v>393</v>
      </c>
      <c r="B16" s="107">
        <v>0</v>
      </c>
      <c r="C16" s="107">
        <v>0</v>
      </c>
      <c r="D16" s="107">
        <v>0</v>
      </c>
      <c r="E16" s="107">
        <v>0</v>
      </c>
      <c r="F16" s="107">
        <v>0</v>
      </c>
      <c r="G16" s="107">
        <f t="shared" si="2"/>
        <v>0</v>
      </c>
    </row>
    <row r="17" spans="1:7" ht="15">
      <c r="A17" s="21" t="s">
        <v>394</v>
      </c>
      <c r="B17" s="107">
        <v>793344009</v>
      </c>
      <c r="C17" s="107">
        <v>7012751.63</v>
      </c>
      <c r="D17" s="107">
        <v>800356760.63</v>
      </c>
      <c r="E17" s="107">
        <v>124754094.52</v>
      </c>
      <c r="F17" s="107">
        <v>123230566.91</v>
      </c>
      <c r="G17" s="107">
        <f t="shared" si="2"/>
        <v>675602666.11</v>
      </c>
    </row>
    <row r="18" spans="1:7" ht="15">
      <c r="A18" s="21" t="s">
        <v>395</v>
      </c>
      <c r="B18" s="107">
        <v>285374609</v>
      </c>
      <c r="C18" s="107">
        <v>-800853.13</v>
      </c>
      <c r="D18" s="107">
        <v>284573755.87</v>
      </c>
      <c r="E18" s="107">
        <v>48044522.39</v>
      </c>
      <c r="F18" s="107">
        <v>47638532.19</v>
      </c>
      <c r="G18" s="107">
        <f t="shared" si="2"/>
        <v>236529233.48000002</v>
      </c>
    </row>
    <row r="19" spans="1:7" ht="15">
      <c r="A19" s="20" t="s">
        <v>396</v>
      </c>
      <c r="B19" s="107">
        <f aca="true" t="shared" si="3" ref="B19:G19">SUM(B20:B26)</f>
        <v>3806137309</v>
      </c>
      <c r="C19" s="107">
        <f t="shared" si="3"/>
        <v>-9473603.089999998</v>
      </c>
      <c r="D19" s="107">
        <f t="shared" si="3"/>
        <v>3796663705.91</v>
      </c>
      <c r="E19" s="107">
        <f t="shared" si="3"/>
        <v>735275073.67</v>
      </c>
      <c r="F19" s="107">
        <f t="shared" si="3"/>
        <v>733403473.3399998</v>
      </c>
      <c r="G19" s="107">
        <f t="shared" si="3"/>
        <v>3061388632.24</v>
      </c>
    </row>
    <row r="20" spans="1:7" ht="15">
      <c r="A20" s="21" t="s">
        <v>397</v>
      </c>
      <c r="B20" s="107">
        <v>53407678</v>
      </c>
      <c r="C20" s="107">
        <v>-6259.54</v>
      </c>
      <c r="D20" s="107">
        <v>53401418.46</v>
      </c>
      <c r="E20" s="107">
        <v>8171475.88</v>
      </c>
      <c r="F20" s="107">
        <v>8113686.78</v>
      </c>
      <c r="G20" s="107">
        <f>D20-E20</f>
        <v>45229942.58</v>
      </c>
    </row>
    <row r="21" spans="1:7" ht="15">
      <c r="A21" s="21" t="s">
        <v>398</v>
      </c>
      <c r="B21" s="107">
        <v>286471915</v>
      </c>
      <c r="C21" s="107">
        <v>2298155.94</v>
      </c>
      <c r="D21" s="107">
        <v>288770070.94</v>
      </c>
      <c r="E21" s="107">
        <v>47601730.3</v>
      </c>
      <c r="F21" s="107">
        <v>47537723.58</v>
      </c>
      <c r="G21" s="107">
        <f aca="true" t="shared" si="4" ref="G21:G26">D21-E21</f>
        <v>241168340.64</v>
      </c>
    </row>
    <row r="22" spans="1:7" ht="15">
      <c r="A22" s="21" t="s">
        <v>399</v>
      </c>
      <c r="B22" s="107">
        <v>756711742</v>
      </c>
      <c r="C22" s="107">
        <v>720510.83</v>
      </c>
      <c r="D22" s="107">
        <v>757432252.83</v>
      </c>
      <c r="E22" s="107">
        <v>162242396.93</v>
      </c>
      <c r="F22" s="107">
        <v>161472066.59</v>
      </c>
      <c r="G22" s="107">
        <f t="shared" si="4"/>
        <v>595189855.9000001</v>
      </c>
    </row>
    <row r="23" spans="1:7" ht="15">
      <c r="A23" s="21" t="s">
        <v>400</v>
      </c>
      <c r="B23" s="107">
        <v>294481873</v>
      </c>
      <c r="C23" s="107">
        <v>-20389876.33</v>
      </c>
      <c r="D23" s="107">
        <v>274091996.67</v>
      </c>
      <c r="E23" s="107">
        <v>53283422.48</v>
      </c>
      <c r="F23" s="107">
        <v>53124589.83</v>
      </c>
      <c r="G23" s="107">
        <f t="shared" si="4"/>
        <v>220808574.19000003</v>
      </c>
    </row>
    <row r="24" spans="1:7" ht="15">
      <c r="A24" s="21" t="s">
        <v>401</v>
      </c>
      <c r="B24" s="107">
        <v>1907117585</v>
      </c>
      <c r="C24" s="107">
        <v>7139112.43</v>
      </c>
      <c r="D24" s="107">
        <v>1914256697.43</v>
      </c>
      <c r="E24" s="107">
        <v>364935772.49</v>
      </c>
      <c r="F24" s="107">
        <v>364376277.58</v>
      </c>
      <c r="G24" s="107">
        <f t="shared" si="4"/>
        <v>1549320924.94</v>
      </c>
    </row>
    <row r="25" spans="1:7" ht="15">
      <c r="A25" s="21" t="s">
        <v>402</v>
      </c>
      <c r="B25" s="107">
        <v>273169783</v>
      </c>
      <c r="C25" s="107">
        <v>0</v>
      </c>
      <c r="D25" s="107">
        <v>273169783</v>
      </c>
      <c r="E25" s="107">
        <v>73799779.67</v>
      </c>
      <c r="F25" s="107">
        <v>73799779.67</v>
      </c>
      <c r="G25" s="107">
        <f t="shared" si="4"/>
        <v>199370003.32999998</v>
      </c>
    </row>
    <row r="26" spans="1:7" ht="15">
      <c r="A26" s="21" t="s">
        <v>403</v>
      </c>
      <c r="B26" s="107">
        <v>234776733</v>
      </c>
      <c r="C26" s="107">
        <v>764753.58</v>
      </c>
      <c r="D26" s="107">
        <v>235541486.58</v>
      </c>
      <c r="E26" s="107">
        <v>25240495.92</v>
      </c>
      <c r="F26" s="107">
        <v>24979349.31</v>
      </c>
      <c r="G26" s="107">
        <f t="shared" si="4"/>
        <v>210300990.66000003</v>
      </c>
    </row>
    <row r="27" spans="1:7" ht="15">
      <c r="A27" s="20" t="s">
        <v>404</v>
      </c>
      <c r="B27" s="107">
        <f aca="true" t="shared" si="5" ref="B27:G27">SUM(B28:B36)</f>
        <v>625438964</v>
      </c>
      <c r="C27" s="107">
        <f t="shared" si="5"/>
        <v>424347.18</v>
      </c>
      <c r="D27" s="107">
        <f t="shared" si="5"/>
        <v>625863311.1800001</v>
      </c>
      <c r="E27" s="107">
        <f t="shared" si="5"/>
        <v>63074274.20999999</v>
      </c>
      <c r="F27" s="107">
        <f t="shared" si="5"/>
        <v>62270818.339999996</v>
      </c>
      <c r="G27" s="107">
        <f t="shared" si="5"/>
        <v>562789036.97</v>
      </c>
    </row>
    <row r="28" spans="1:7" ht="15">
      <c r="A28" s="36" t="s">
        <v>405</v>
      </c>
      <c r="B28" s="107">
        <v>121194139</v>
      </c>
      <c r="C28" s="107">
        <v>-182538.73</v>
      </c>
      <c r="D28" s="107">
        <v>121011600.27</v>
      </c>
      <c r="E28" s="107">
        <v>20131848.06</v>
      </c>
      <c r="F28" s="107">
        <v>20011859.13</v>
      </c>
      <c r="G28" s="107">
        <f>D28-E28</f>
        <v>100879752.21</v>
      </c>
    </row>
    <row r="29" spans="1:7" ht="15">
      <c r="A29" s="21" t="s">
        <v>406</v>
      </c>
      <c r="B29" s="107">
        <v>219165042</v>
      </c>
      <c r="C29" s="107">
        <v>343796.15</v>
      </c>
      <c r="D29" s="107">
        <v>219508838.15</v>
      </c>
      <c r="E29" s="107">
        <v>17535237.82</v>
      </c>
      <c r="F29" s="107">
        <v>17404716.18</v>
      </c>
      <c r="G29" s="107">
        <f aca="true" t="shared" si="6" ref="G29:G36">D29-E29</f>
        <v>201973600.33</v>
      </c>
    </row>
    <row r="30" spans="1:7" ht="15">
      <c r="A30" s="21" t="s">
        <v>407</v>
      </c>
      <c r="B30" s="107">
        <v>77671083</v>
      </c>
      <c r="C30" s="107">
        <v>-10452.86</v>
      </c>
      <c r="D30" s="107">
        <v>77660630.14</v>
      </c>
      <c r="E30" s="107">
        <v>1189648</v>
      </c>
      <c r="F30" s="107">
        <v>1180753.66</v>
      </c>
      <c r="G30" s="107">
        <f t="shared" si="6"/>
        <v>76470982.14</v>
      </c>
    </row>
    <row r="31" spans="1:7" ht="15">
      <c r="A31" s="21" t="s">
        <v>408</v>
      </c>
      <c r="B31" s="107">
        <v>0</v>
      </c>
      <c r="C31" s="107">
        <v>0</v>
      </c>
      <c r="D31" s="107">
        <v>0</v>
      </c>
      <c r="E31" s="107">
        <v>0</v>
      </c>
      <c r="F31" s="107">
        <v>0</v>
      </c>
      <c r="G31" s="107">
        <f t="shared" si="6"/>
        <v>0</v>
      </c>
    </row>
    <row r="32" spans="1:7" ht="15">
      <c r="A32" s="21" t="s">
        <v>409</v>
      </c>
      <c r="B32" s="107">
        <v>9284645</v>
      </c>
      <c r="C32" s="107">
        <v>-17277</v>
      </c>
      <c r="D32" s="107">
        <v>9267368</v>
      </c>
      <c r="E32" s="107">
        <v>1525046.71</v>
      </c>
      <c r="F32" s="107">
        <v>1510385.98</v>
      </c>
      <c r="G32" s="107">
        <f t="shared" si="6"/>
        <v>7742321.29</v>
      </c>
    </row>
    <row r="33" spans="1:7" ht="15">
      <c r="A33" s="21" t="s">
        <v>410</v>
      </c>
      <c r="B33" s="107">
        <v>111479360</v>
      </c>
      <c r="C33" s="107">
        <v>-126865.31</v>
      </c>
      <c r="D33" s="107">
        <v>111352494.69</v>
      </c>
      <c r="E33" s="107">
        <v>7517750.18</v>
      </c>
      <c r="F33" s="107">
        <v>7425235.47</v>
      </c>
      <c r="G33" s="107">
        <f t="shared" si="6"/>
        <v>103834744.50999999</v>
      </c>
    </row>
    <row r="34" spans="1:7" ht="15">
      <c r="A34" s="21" t="s">
        <v>411</v>
      </c>
      <c r="B34" s="107">
        <v>69649900</v>
      </c>
      <c r="C34" s="107">
        <v>417684.93</v>
      </c>
      <c r="D34" s="107">
        <v>70067584.93</v>
      </c>
      <c r="E34" s="107">
        <v>11954894.6</v>
      </c>
      <c r="F34" s="107">
        <v>11545716.42</v>
      </c>
      <c r="G34" s="107">
        <f t="shared" si="6"/>
        <v>58112690.330000006</v>
      </c>
    </row>
    <row r="35" spans="1:7" ht="15">
      <c r="A35" s="21" t="s">
        <v>412</v>
      </c>
      <c r="B35" s="107">
        <v>0</v>
      </c>
      <c r="C35" s="107">
        <v>0</v>
      </c>
      <c r="D35" s="107">
        <v>0</v>
      </c>
      <c r="E35" s="107">
        <v>0</v>
      </c>
      <c r="F35" s="107">
        <v>0</v>
      </c>
      <c r="G35" s="107">
        <f t="shared" si="6"/>
        <v>0</v>
      </c>
    </row>
    <row r="36" spans="1:7" ht="15">
      <c r="A36" s="21" t="s">
        <v>413</v>
      </c>
      <c r="B36" s="107">
        <v>16994795</v>
      </c>
      <c r="C36" s="107">
        <v>0</v>
      </c>
      <c r="D36" s="107">
        <v>16994795</v>
      </c>
      <c r="E36" s="107">
        <v>3219848.84</v>
      </c>
      <c r="F36" s="107">
        <v>3192151.5</v>
      </c>
      <c r="G36" s="107">
        <f t="shared" si="6"/>
        <v>13774946.16</v>
      </c>
    </row>
    <row r="37" spans="1:7" ht="30">
      <c r="A37" s="33" t="s">
        <v>414</v>
      </c>
      <c r="B37" s="107">
        <f aca="true" t="shared" si="7" ref="B37:G37">SUM(B38:B41)</f>
        <v>3078221506</v>
      </c>
      <c r="C37" s="107">
        <f t="shared" si="7"/>
        <v>56223797.42</v>
      </c>
      <c r="D37" s="107">
        <f t="shared" si="7"/>
        <v>3134445303.42</v>
      </c>
      <c r="E37" s="107">
        <f t="shared" si="7"/>
        <v>792742045.77</v>
      </c>
      <c r="F37" s="107">
        <f t="shared" si="7"/>
        <v>792742045.77</v>
      </c>
      <c r="G37" s="107">
        <f t="shared" si="7"/>
        <v>2341703257.65</v>
      </c>
    </row>
    <row r="38" spans="1:7" ht="15">
      <c r="A38" s="36" t="s">
        <v>415</v>
      </c>
      <c r="B38" s="107">
        <v>223144349</v>
      </c>
      <c r="C38" s="107">
        <v>0</v>
      </c>
      <c r="D38" s="107">
        <v>223144349</v>
      </c>
      <c r="E38" s="107">
        <v>57674305.09</v>
      </c>
      <c r="F38" s="107">
        <v>57674305.09</v>
      </c>
      <c r="G38" s="107">
        <f>D38-E38</f>
        <v>165470043.91</v>
      </c>
    </row>
    <row r="39" spans="1:7" ht="30">
      <c r="A39" s="36" t="s">
        <v>416</v>
      </c>
      <c r="B39" s="107">
        <v>2805077157</v>
      </c>
      <c r="C39" s="107">
        <v>56223797.42</v>
      </c>
      <c r="D39" s="107">
        <v>2861300954.42</v>
      </c>
      <c r="E39" s="107">
        <v>735067740.68</v>
      </c>
      <c r="F39" s="107">
        <v>735067740.68</v>
      </c>
      <c r="G39" s="107">
        <f>D39-E39</f>
        <v>2126233213.7400002</v>
      </c>
    </row>
    <row r="40" spans="1:7" ht="15">
      <c r="A40" s="36" t="s">
        <v>417</v>
      </c>
      <c r="B40" s="107">
        <v>0</v>
      </c>
      <c r="C40" s="107">
        <v>0</v>
      </c>
      <c r="D40" s="107">
        <v>0</v>
      </c>
      <c r="E40" s="107">
        <v>0</v>
      </c>
      <c r="F40" s="107">
        <v>0</v>
      </c>
      <c r="G40" s="107">
        <f>D40-E40</f>
        <v>0</v>
      </c>
    </row>
    <row r="41" spans="1:7" ht="15">
      <c r="A41" s="36" t="s">
        <v>418</v>
      </c>
      <c r="B41" s="107">
        <v>50000000</v>
      </c>
      <c r="C41" s="107">
        <v>0</v>
      </c>
      <c r="D41" s="107">
        <v>50000000</v>
      </c>
      <c r="E41" s="107">
        <v>0</v>
      </c>
      <c r="F41" s="107">
        <v>0</v>
      </c>
      <c r="G41" s="107">
        <f>D41-E41</f>
        <v>50000000</v>
      </c>
    </row>
    <row r="42" spans="1:7" ht="15">
      <c r="A42" s="36"/>
      <c r="B42" s="107"/>
      <c r="C42" s="107"/>
      <c r="D42" s="107"/>
      <c r="E42" s="107"/>
      <c r="F42" s="107"/>
      <c r="G42" s="107"/>
    </row>
    <row r="43" spans="1:7" ht="15">
      <c r="A43" s="23" t="s">
        <v>419</v>
      </c>
      <c r="B43" s="108">
        <f aca="true" t="shared" si="8" ref="B43:G43">SUM(B44,B53,B61,B71)</f>
        <v>11042353021</v>
      </c>
      <c r="C43" s="108">
        <f t="shared" si="8"/>
        <v>826822232.5899999</v>
      </c>
      <c r="D43" s="108">
        <f t="shared" si="8"/>
        <v>11869175253.589998</v>
      </c>
      <c r="E43" s="108">
        <f t="shared" si="8"/>
        <v>2657555597.14</v>
      </c>
      <c r="F43" s="108">
        <f t="shared" si="8"/>
        <v>2657555597.14</v>
      </c>
      <c r="G43" s="108">
        <f t="shared" si="8"/>
        <v>9211619656.449999</v>
      </c>
    </row>
    <row r="44" spans="1:7" ht="15">
      <c r="A44" s="20" t="s">
        <v>420</v>
      </c>
      <c r="B44" s="107">
        <f aca="true" t="shared" si="9" ref="B44:G44">SUM(B45:B52)</f>
        <v>241952577</v>
      </c>
      <c r="C44" s="107">
        <f t="shared" si="9"/>
        <v>14162952.16</v>
      </c>
      <c r="D44" s="107">
        <f t="shared" si="9"/>
        <v>256115529.16</v>
      </c>
      <c r="E44" s="107">
        <f t="shared" si="9"/>
        <v>14089899.15</v>
      </c>
      <c r="F44" s="107">
        <f t="shared" si="9"/>
        <v>14089899.15</v>
      </c>
      <c r="G44" s="107">
        <f t="shared" si="9"/>
        <v>242025630.01</v>
      </c>
    </row>
    <row r="45" spans="1:7" ht="15">
      <c r="A45" s="36" t="s">
        <v>388</v>
      </c>
      <c r="B45" s="107">
        <v>0</v>
      </c>
      <c r="C45" s="107">
        <v>0</v>
      </c>
      <c r="D45" s="107">
        <v>0</v>
      </c>
      <c r="E45" s="107">
        <v>0</v>
      </c>
      <c r="F45" s="107">
        <v>0</v>
      </c>
      <c r="G45" s="107">
        <f>D45-E45</f>
        <v>0</v>
      </c>
    </row>
    <row r="46" spans="1:7" ht="15">
      <c r="A46" s="36" t="s">
        <v>389</v>
      </c>
      <c r="B46" s="107">
        <v>48449796</v>
      </c>
      <c r="C46" s="107">
        <v>2941406.99</v>
      </c>
      <c r="D46" s="107">
        <v>51391202.99</v>
      </c>
      <c r="E46" s="107">
        <v>2941406.99</v>
      </c>
      <c r="F46" s="107">
        <v>2941406.99</v>
      </c>
      <c r="G46" s="107">
        <f aca="true" t="shared" si="10" ref="G46:G52">D46-E46</f>
        <v>48449796</v>
      </c>
    </row>
    <row r="47" spans="1:7" ht="15">
      <c r="A47" s="36" t="s">
        <v>390</v>
      </c>
      <c r="B47" s="107">
        <v>0</v>
      </c>
      <c r="C47" s="107">
        <v>0</v>
      </c>
      <c r="D47" s="107">
        <v>0</v>
      </c>
      <c r="E47" s="107">
        <v>0</v>
      </c>
      <c r="F47" s="107">
        <v>0</v>
      </c>
      <c r="G47" s="107">
        <f t="shared" si="10"/>
        <v>0</v>
      </c>
    </row>
    <row r="48" spans="1:7" ht="15">
      <c r="A48" s="36" t="s">
        <v>391</v>
      </c>
      <c r="B48" s="107">
        <v>0</v>
      </c>
      <c r="C48" s="107">
        <v>0</v>
      </c>
      <c r="D48" s="107">
        <v>0</v>
      </c>
      <c r="E48" s="107">
        <v>0</v>
      </c>
      <c r="F48" s="107">
        <v>0</v>
      </c>
      <c r="G48" s="107">
        <f t="shared" si="10"/>
        <v>0</v>
      </c>
    </row>
    <row r="49" spans="1:7" ht="15">
      <c r="A49" s="36" t="s">
        <v>392</v>
      </c>
      <c r="B49" s="107">
        <v>0</v>
      </c>
      <c r="C49" s="107">
        <v>0</v>
      </c>
      <c r="D49" s="107">
        <v>0</v>
      </c>
      <c r="E49" s="107">
        <v>0</v>
      </c>
      <c r="F49" s="107">
        <v>0</v>
      </c>
      <c r="G49" s="107">
        <f t="shared" si="10"/>
        <v>0</v>
      </c>
    </row>
    <row r="50" spans="1:7" ht="15">
      <c r="A50" s="36" t="s">
        <v>393</v>
      </c>
      <c r="B50" s="107">
        <v>0</v>
      </c>
      <c r="C50" s="107">
        <v>0</v>
      </c>
      <c r="D50" s="107">
        <v>0</v>
      </c>
      <c r="E50" s="107">
        <v>0</v>
      </c>
      <c r="F50" s="107">
        <v>0</v>
      </c>
      <c r="G50" s="107">
        <f t="shared" si="10"/>
        <v>0</v>
      </c>
    </row>
    <row r="51" spans="1:7" ht="15">
      <c r="A51" s="36" t="s">
        <v>394</v>
      </c>
      <c r="B51" s="107">
        <v>170502781</v>
      </c>
      <c r="C51" s="107">
        <v>11221545.17</v>
      </c>
      <c r="D51" s="107">
        <v>181724326.17</v>
      </c>
      <c r="E51" s="107">
        <v>11148492.16</v>
      </c>
      <c r="F51" s="107">
        <v>11148492.16</v>
      </c>
      <c r="G51" s="107">
        <f t="shared" si="10"/>
        <v>170575834.01</v>
      </c>
    </row>
    <row r="52" spans="1:7" ht="15">
      <c r="A52" s="36" t="s">
        <v>395</v>
      </c>
      <c r="B52" s="107">
        <v>23000000</v>
      </c>
      <c r="C52" s="107">
        <v>0</v>
      </c>
      <c r="D52" s="107">
        <v>23000000</v>
      </c>
      <c r="E52" s="107">
        <v>0</v>
      </c>
      <c r="F52" s="107">
        <v>0</v>
      </c>
      <c r="G52" s="107">
        <f t="shared" si="10"/>
        <v>23000000</v>
      </c>
    </row>
    <row r="53" spans="1:7" ht="15">
      <c r="A53" s="20" t="s">
        <v>396</v>
      </c>
      <c r="B53" s="107">
        <f aca="true" t="shared" si="11" ref="B53:G53">SUM(B54:B60)</f>
        <v>8976738219</v>
      </c>
      <c r="C53" s="107">
        <f t="shared" si="11"/>
        <v>702478206.75</v>
      </c>
      <c r="D53" s="107">
        <f t="shared" si="11"/>
        <v>9679216425.749998</v>
      </c>
      <c r="E53" s="107">
        <f t="shared" si="11"/>
        <v>2145892891.53</v>
      </c>
      <c r="F53" s="107">
        <f t="shared" si="11"/>
        <v>2145892891.53</v>
      </c>
      <c r="G53" s="107">
        <f t="shared" si="11"/>
        <v>7533323534.219999</v>
      </c>
    </row>
    <row r="54" spans="1:7" ht="15">
      <c r="A54" s="36" t="s">
        <v>397</v>
      </c>
      <c r="B54" s="107">
        <v>50000000</v>
      </c>
      <c r="C54" s="107">
        <v>0</v>
      </c>
      <c r="D54" s="107">
        <v>50000000</v>
      </c>
      <c r="E54" s="107">
        <v>0</v>
      </c>
      <c r="F54" s="107">
        <v>0</v>
      </c>
      <c r="G54" s="107">
        <f>D54-E54</f>
        <v>50000000</v>
      </c>
    </row>
    <row r="55" spans="1:7" ht="15">
      <c r="A55" s="36" t="s">
        <v>398</v>
      </c>
      <c r="B55" s="107">
        <v>444061772</v>
      </c>
      <c r="C55" s="107">
        <v>9540314.57</v>
      </c>
      <c r="D55" s="107">
        <v>453602086.57</v>
      </c>
      <c r="E55" s="107">
        <v>12189405.41</v>
      </c>
      <c r="F55" s="107">
        <v>12189405.41</v>
      </c>
      <c r="G55" s="107">
        <f aca="true" t="shared" si="12" ref="G55:G60">D55-E55</f>
        <v>441412681.15999997</v>
      </c>
    </row>
    <row r="56" spans="1:7" ht="15">
      <c r="A56" s="36" t="s">
        <v>399</v>
      </c>
      <c r="B56" s="107">
        <v>1931714766</v>
      </c>
      <c r="C56" s="107">
        <v>125766569.26</v>
      </c>
      <c r="D56" s="107">
        <v>2057481335.26</v>
      </c>
      <c r="E56" s="107">
        <v>591071287.26</v>
      </c>
      <c r="F56" s="107">
        <v>591071287.26</v>
      </c>
      <c r="G56" s="107">
        <f t="shared" si="12"/>
        <v>1466410048</v>
      </c>
    </row>
    <row r="57" spans="1:7" ht="15">
      <c r="A57" s="37" t="s">
        <v>400</v>
      </c>
      <c r="B57" s="107">
        <v>99123485</v>
      </c>
      <c r="C57" s="107">
        <v>3184273.39</v>
      </c>
      <c r="D57" s="107">
        <v>102307758.39</v>
      </c>
      <c r="E57" s="107">
        <v>535182.55</v>
      </c>
      <c r="F57" s="107">
        <v>535182.55</v>
      </c>
      <c r="G57" s="107">
        <f t="shared" si="12"/>
        <v>101772575.84</v>
      </c>
    </row>
    <row r="58" spans="1:7" ht="15">
      <c r="A58" s="36" t="s">
        <v>401</v>
      </c>
      <c r="B58" s="107">
        <v>6264746350</v>
      </c>
      <c r="C58" s="107">
        <v>533251431.73</v>
      </c>
      <c r="D58" s="107">
        <v>6797997781.73</v>
      </c>
      <c r="E58" s="107">
        <v>1471549319.51</v>
      </c>
      <c r="F58" s="107">
        <v>1471549319.51</v>
      </c>
      <c r="G58" s="107">
        <f t="shared" si="12"/>
        <v>5326448462.219999</v>
      </c>
    </row>
    <row r="59" spans="1:7" ht="15">
      <c r="A59" s="36" t="s">
        <v>402</v>
      </c>
      <c r="B59" s="107">
        <v>142327325</v>
      </c>
      <c r="C59" s="107">
        <v>30735617.8</v>
      </c>
      <c r="D59" s="107">
        <v>173062942.8</v>
      </c>
      <c r="E59" s="107">
        <v>70547696.8</v>
      </c>
      <c r="F59" s="107">
        <v>70547696.8</v>
      </c>
      <c r="G59" s="107">
        <f t="shared" si="12"/>
        <v>102515246.00000001</v>
      </c>
    </row>
    <row r="60" spans="1:7" ht="15">
      <c r="A60" s="36" t="s">
        <v>403</v>
      </c>
      <c r="B60" s="107">
        <v>44764521</v>
      </c>
      <c r="C60" s="107">
        <v>0</v>
      </c>
      <c r="D60" s="107">
        <v>44764521</v>
      </c>
      <c r="E60" s="107">
        <v>0</v>
      </c>
      <c r="F60" s="107">
        <v>0</v>
      </c>
      <c r="G60" s="107">
        <f t="shared" si="12"/>
        <v>44764521</v>
      </c>
    </row>
    <row r="61" spans="1:7" ht="15">
      <c r="A61" s="20" t="s">
        <v>404</v>
      </c>
      <c r="B61" s="107">
        <f aca="true" t="shared" si="13" ref="B61:G61">SUM(B62:B70)</f>
        <v>131448250</v>
      </c>
      <c r="C61" s="107">
        <f t="shared" si="13"/>
        <v>0</v>
      </c>
      <c r="D61" s="107">
        <f t="shared" si="13"/>
        <v>131448250</v>
      </c>
      <c r="E61" s="107">
        <f t="shared" si="13"/>
        <v>0</v>
      </c>
      <c r="F61" s="107">
        <f t="shared" si="13"/>
        <v>0</v>
      </c>
      <c r="G61" s="107">
        <f t="shared" si="13"/>
        <v>131448250</v>
      </c>
    </row>
    <row r="62" spans="1:7" ht="15">
      <c r="A62" s="36" t="s">
        <v>405</v>
      </c>
      <c r="B62" s="107">
        <v>15000000</v>
      </c>
      <c r="C62" s="107">
        <v>0</v>
      </c>
      <c r="D62" s="107">
        <v>15000000</v>
      </c>
      <c r="E62" s="107">
        <v>0</v>
      </c>
      <c r="F62" s="107">
        <v>0</v>
      </c>
      <c r="G62" s="107">
        <f>D62-E62</f>
        <v>15000000</v>
      </c>
    </row>
    <row r="63" spans="1:7" ht="15">
      <c r="A63" s="36" t="s">
        <v>406</v>
      </c>
      <c r="B63" s="107">
        <v>38000000</v>
      </c>
      <c r="C63" s="107">
        <v>0</v>
      </c>
      <c r="D63" s="107">
        <v>38000000</v>
      </c>
      <c r="E63" s="107">
        <v>0</v>
      </c>
      <c r="F63" s="107">
        <v>0</v>
      </c>
      <c r="G63" s="107">
        <f aca="true" t="shared" si="14" ref="G63:G70">D63-E63</f>
        <v>38000000</v>
      </c>
    </row>
    <row r="64" spans="1:7" ht="15">
      <c r="A64" s="36" t="s">
        <v>407</v>
      </c>
      <c r="B64" s="107">
        <v>0</v>
      </c>
      <c r="C64" s="107">
        <v>0</v>
      </c>
      <c r="D64" s="107">
        <v>0</v>
      </c>
      <c r="E64" s="107">
        <v>0</v>
      </c>
      <c r="F64" s="107">
        <v>0</v>
      </c>
      <c r="G64" s="107">
        <f t="shared" si="14"/>
        <v>0</v>
      </c>
    </row>
    <row r="65" spans="1:7" ht="15">
      <c r="A65" s="36" t="s">
        <v>408</v>
      </c>
      <c r="B65" s="107">
        <v>0</v>
      </c>
      <c r="C65" s="107">
        <v>0</v>
      </c>
      <c r="D65" s="107">
        <v>0</v>
      </c>
      <c r="E65" s="107">
        <v>0</v>
      </c>
      <c r="F65" s="107">
        <v>0</v>
      </c>
      <c r="G65" s="107">
        <f t="shared" si="14"/>
        <v>0</v>
      </c>
    </row>
    <row r="66" spans="1:7" ht="15">
      <c r="A66" s="36" t="s">
        <v>409</v>
      </c>
      <c r="B66" s="107">
        <v>0</v>
      </c>
      <c r="C66" s="107">
        <v>0</v>
      </c>
      <c r="D66" s="107">
        <v>0</v>
      </c>
      <c r="E66" s="107">
        <v>0</v>
      </c>
      <c r="F66" s="107">
        <v>0</v>
      </c>
      <c r="G66" s="107">
        <f t="shared" si="14"/>
        <v>0</v>
      </c>
    </row>
    <row r="67" spans="1:7" ht="15">
      <c r="A67" s="36" t="s">
        <v>410</v>
      </c>
      <c r="B67" s="107">
        <v>78448250</v>
      </c>
      <c r="C67" s="107">
        <v>0</v>
      </c>
      <c r="D67" s="107">
        <v>78448250</v>
      </c>
      <c r="E67" s="107">
        <v>0</v>
      </c>
      <c r="F67" s="107">
        <v>0</v>
      </c>
      <c r="G67" s="107">
        <f t="shared" si="14"/>
        <v>78448250</v>
      </c>
    </row>
    <row r="68" spans="1:7" ht="15">
      <c r="A68" s="36" t="s">
        <v>411</v>
      </c>
      <c r="B68" s="107">
        <v>0</v>
      </c>
      <c r="C68" s="107">
        <v>0</v>
      </c>
      <c r="D68" s="107">
        <v>0</v>
      </c>
      <c r="E68" s="107">
        <v>0</v>
      </c>
      <c r="F68" s="107">
        <v>0</v>
      </c>
      <c r="G68" s="107">
        <f t="shared" si="14"/>
        <v>0</v>
      </c>
    </row>
    <row r="69" spans="1:7" ht="15">
      <c r="A69" s="36" t="s">
        <v>412</v>
      </c>
      <c r="B69" s="107">
        <v>0</v>
      </c>
      <c r="C69" s="107">
        <v>0</v>
      </c>
      <c r="D69" s="107">
        <v>0</v>
      </c>
      <c r="E69" s="107">
        <v>0</v>
      </c>
      <c r="F69" s="107">
        <v>0</v>
      </c>
      <c r="G69" s="107">
        <f t="shared" si="14"/>
        <v>0</v>
      </c>
    </row>
    <row r="70" spans="1:7" ht="15">
      <c r="A70" s="36" t="s">
        <v>413</v>
      </c>
      <c r="B70" s="107">
        <v>0</v>
      </c>
      <c r="C70" s="107">
        <v>0</v>
      </c>
      <c r="D70" s="107">
        <v>0</v>
      </c>
      <c r="E70" s="107">
        <v>0</v>
      </c>
      <c r="F70" s="107">
        <v>0</v>
      </c>
      <c r="G70" s="107">
        <f t="shared" si="14"/>
        <v>0</v>
      </c>
    </row>
    <row r="71" spans="1:7" ht="15">
      <c r="A71" s="33" t="s">
        <v>421</v>
      </c>
      <c r="B71" s="109">
        <f aca="true" t="shared" si="15" ref="B71:G71">SUM(B72:B75)</f>
        <v>1692213975</v>
      </c>
      <c r="C71" s="109">
        <f t="shared" si="15"/>
        <v>110181073.68</v>
      </c>
      <c r="D71" s="109">
        <f t="shared" si="15"/>
        <v>1802395048.68</v>
      </c>
      <c r="E71" s="109">
        <f t="shared" si="15"/>
        <v>497572806.46</v>
      </c>
      <c r="F71" s="109">
        <f t="shared" si="15"/>
        <v>497572806.46</v>
      </c>
      <c r="G71" s="109">
        <f t="shared" si="15"/>
        <v>1304822242.22</v>
      </c>
    </row>
    <row r="72" spans="1:7" ht="15">
      <c r="A72" s="36" t="s">
        <v>415</v>
      </c>
      <c r="B72" s="107">
        <v>0</v>
      </c>
      <c r="C72" s="107">
        <v>0</v>
      </c>
      <c r="D72" s="107">
        <v>0</v>
      </c>
      <c r="E72" s="107">
        <v>0</v>
      </c>
      <c r="F72" s="107">
        <v>0</v>
      </c>
      <c r="G72" s="107">
        <f>D72-E72</f>
        <v>0</v>
      </c>
    </row>
    <row r="73" spans="1:7" ht="30">
      <c r="A73" s="36" t="s">
        <v>416</v>
      </c>
      <c r="B73" s="107">
        <v>1692213975</v>
      </c>
      <c r="C73" s="107">
        <v>110181073.68</v>
      </c>
      <c r="D73" s="107">
        <v>1802395048.68</v>
      </c>
      <c r="E73" s="107">
        <v>497572806.46</v>
      </c>
      <c r="F73" s="107">
        <v>497572806.46</v>
      </c>
      <c r="G73" s="107">
        <f>D73-E73</f>
        <v>1304822242.22</v>
      </c>
    </row>
    <row r="74" spans="1:7" ht="15">
      <c r="A74" s="36" t="s">
        <v>417</v>
      </c>
      <c r="B74" s="107">
        <v>0</v>
      </c>
      <c r="C74" s="107">
        <v>0</v>
      </c>
      <c r="D74" s="107">
        <v>0</v>
      </c>
      <c r="E74" s="107">
        <v>0</v>
      </c>
      <c r="F74" s="107">
        <v>0</v>
      </c>
      <c r="G74" s="107">
        <f>D74-E74</f>
        <v>0</v>
      </c>
    </row>
    <row r="75" spans="1:7" ht="15">
      <c r="A75" s="36" t="s">
        <v>418</v>
      </c>
      <c r="B75" s="107">
        <v>0</v>
      </c>
      <c r="C75" s="107">
        <v>0</v>
      </c>
      <c r="D75" s="107">
        <v>0</v>
      </c>
      <c r="E75" s="107">
        <v>0</v>
      </c>
      <c r="F75" s="107">
        <v>0</v>
      </c>
      <c r="G75" s="107">
        <f>D75-E75</f>
        <v>0</v>
      </c>
    </row>
    <row r="76" spans="1:7" ht="15">
      <c r="A76" s="34"/>
      <c r="B76" s="110"/>
      <c r="C76" s="110"/>
      <c r="D76" s="110"/>
      <c r="E76" s="110"/>
      <c r="F76" s="110"/>
      <c r="G76" s="110"/>
    </row>
    <row r="77" spans="1:7" ht="15">
      <c r="A77" s="23" t="s">
        <v>376</v>
      </c>
      <c r="B77" s="108">
        <f aca="true" t="shared" si="16" ref="B77:G77">B43+B9</f>
        <v>22349942786</v>
      </c>
      <c r="C77" s="108">
        <f t="shared" si="16"/>
        <v>907788677.6499999</v>
      </c>
      <c r="D77" s="108">
        <f t="shared" si="16"/>
        <v>23257731463.65</v>
      </c>
      <c r="E77" s="108">
        <f t="shared" si="16"/>
        <v>4851307186.43</v>
      </c>
      <c r="F77" s="108">
        <f t="shared" si="16"/>
        <v>4841571946.83</v>
      </c>
      <c r="G77" s="108">
        <f t="shared" si="16"/>
        <v>18406424277.22</v>
      </c>
    </row>
    <row r="78" spans="1:7" ht="15">
      <c r="A78" s="35"/>
      <c r="B78" s="120"/>
      <c r="C78" s="120"/>
      <c r="D78" s="120"/>
      <c r="E78" s="120"/>
      <c r="F78" s="120"/>
      <c r="G78" s="121"/>
    </row>
    <row r="79" ht="15"/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5511811023622047" bottom="0.35433070866141736" header="0.31496062992125984" footer="0.31496062992125984"/>
  <pageSetup fitToHeight="4" fitToWidth="1" horizontalDpi="600" verticalDpi="600" orientation="portrait" scale="48" r:id="rId1"/>
  <ignoredErrors>
    <ignoredError sqref="B77:G77 B71:F71 G72:G75 G62:G70 B61:F61 B53:F53 G60 G44:G52 B44:F44 B43:IV43 G38:G41 B37:F37 G28:G36 B27:F27 B19:F19 G10:G18 B10:F10 B9:IV9" unlockedFormula="1"/>
    <ignoredError sqref="G71 G61 G53:G59 G37 G26:G27 G19:G25" formula="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="80" zoomScaleNormal="80" zoomScalePageLayoutView="0" workbookViewId="0" topLeftCell="A1">
      <selection activeCell="E25" sqref="E25"/>
    </sheetView>
  </sheetViews>
  <sheetFormatPr defaultColWidth="0.71875" defaultRowHeight="15" zeroHeight="1"/>
  <cols>
    <col min="1" max="1" width="111.8515625" style="0" customWidth="1"/>
    <col min="2" max="6" width="20.7109375" style="0" customWidth="1"/>
    <col min="7" max="7" width="17.57421875" style="0" customWidth="1"/>
    <col min="8" max="8" width="0" style="0" hidden="1" customWidth="1"/>
    <col min="9" max="255" width="11.421875" style="0" hidden="1" customWidth="1"/>
  </cols>
  <sheetData>
    <row r="1" spans="1:7" ht="21">
      <c r="A1" s="157" t="s">
        <v>422</v>
      </c>
      <c r="B1" s="154"/>
      <c r="C1" s="154"/>
      <c r="D1" s="154"/>
      <c r="E1" s="154"/>
      <c r="F1" s="154"/>
      <c r="G1" s="154"/>
    </row>
    <row r="2" spans="1:7" ht="15">
      <c r="A2" s="135" t="s">
        <v>291</v>
      </c>
      <c r="B2" s="136"/>
      <c r="C2" s="136"/>
      <c r="D2" s="136"/>
      <c r="E2" s="136"/>
      <c r="F2" s="136"/>
      <c r="G2" s="137"/>
    </row>
    <row r="3" spans="1:7" ht="15">
      <c r="A3" s="141" t="s">
        <v>293</v>
      </c>
      <c r="B3" s="142"/>
      <c r="C3" s="142"/>
      <c r="D3" s="142"/>
      <c r="E3" s="142"/>
      <c r="F3" s="142"/>
      <c r="G3" s="143"/>
    </row>
    <row r="4" spans="1:7" ht="15">
      <c r="A4" s="141" t="s">
        <v>423</v>
      </c>
      <c r="B4" s="142"/>
      <c r="C4" s="142"/>
      <c r="D4" s="142"/>
      <c r="E4" s="142"/>
      <c r="F4" s="142"/>
      <c r="G4" s="143"/>
    </row>
    <row r="5" spans="1:7" ht="15">
      <c r="A5" s="141" t="s">
        <v>470</v>
      </c>
      <c r="B5" s="142"/>
      <c r="C5" s="142"/>
      <c r="D5" s="142"/>
      <c r="E5" s="142"/>
      <c r="F5" s="142"/>
      <c r="G5" s="143"/>
    </row>
    <row r="6" spans="1:7" ht="15">
      <c r="A6" s="144" t="s">
        <v>2</v>
      </c>
      <c r="B6" s="145"/>
      <c r="C6" s="145"/>
      <c r="D6" s="145"/>
      <c r="E6" s="145"/>
      <c r="F6" s="145"/>
      <c r="G6" s="146"/>
    </row>
    <row r="7" spans="1:7" ht="15">
      <c r="A7" s="151" t="s">
        <v>424</v>
      </c>
      <c r="B7" s="155" t="s">
        <v>295</v>
      </c>
      <c r="C7" s="155"/>
      <c r="D7" s="155"/>
      <c r="E7" s="155"/>
      <c r="F7" s="155"/>
      <c r="G7" s="155" t="s">
        <v>296</v>
      </c>
    </row>
    <row r="8" spans="1:7" ht="30">
      <c r="A8" s="152"/>
      <c r="B8" s="6" t="s">
        <v>297</v>
      </c>
      <c r="C8" s="31" t="s">
        <v>385</v>
      </c>
      <c r="D8" s="31" t="s">
        <v>227</v>
      </c>
      <c r="E8" s="31" t="s">
        <v>182</v>
      </c>
      <c r="F8" s="31" t="s">
        <v>199</v>
      </c>
      <c r="G8" s="161"/>
    </row>
    <row r="9" spans="1:7" ht="15">
      <c r="A9" s="19" t="s">
        <v>425</v>
      </c>
      <c r="B9" s="111">
        <f aca="true" t="shared" si="0" ref="B9:G9">SUM(B10,B11,B12,B15,B16,B19)</f>
        <v>2825210118</v>
      </c>
      <c r="C9" s="111">
        <f t="shared" si="0"/>
        <v>10831309.410000002</v>
      </c>
      <c r="D9" s="111">
        <f t="shared" si="0"/>
        <v>2836041427.41</v>
      </c>
      <c r="E9" s="111">
        <f t="shared" si="0"/>
        <v>554358813.0999999</v>
      </c>
      <c r="F9" s="111">
        <f t="shared" si="0"/>
        <v>549437449.0999999</v>
      </c>
      <c r="G9" s="111">
        <f t="shared" si="0"/>
        <v>2281682614.31</v>
      </c>
    </row>
    <row r="10" spans="1:7" ht="15">
      <c r="A10" s="20" t="s">
        <v>426</v>
      </c>
      <c r="B10" s="112">
        <v>1816326690</v>
      </c>
      <c r="C10" s="112">
        <v>-5817075.39</v>
      </c>
      <c r="D10" s="112">
        <v>1810509614.61</v>
      </c>
      <c r="E10" s="112">
        <v>336091702.1999999</v>
      </c>
      <c r="F10" s="112">
        <v>333119720.2199999</v>
      </c>
      <c r="G10" s="112">
        <f>D10-E10</f>
        <v>1474417912.4099998</v>
      </c>
    </row>
    <row r="11" spans="1:7" ht="15">
      <c r="A11" s="20" t="s">
        <v>427</v>
      </c>
      <c r="B11" s="112">
        <v>102020299</v>
      </c>
      <c r="C11" s="112">
        <v>-1344394.4100000001</v>
      </c>
      <c r="D11" s="112">
        <v>100675904.59</v>
      </c>
      <c r="E11" s="112">
        <v>19723974.449999996</v>
      </c>
      <c r="F11" s="112">
        <v>19559075.509999998</v>
      </c>
      <c r="G11" s="112">
        <f>D11-E11</f>
        <v>80951930.14000002</v>
      </c>
    </row>
    <row r="12" spans="1:7" ht="15">
      <c r="A12" s="20" t="s">
        <v>428</v>
      </c>
      <c r="B12" s="112">
        <f aca="true" t="shared" si="1" ref="B12:G12">B13+B14</f>
        <v>275164497</v>
      </c>
      <c r="C12" s="112">
        <f t="shared" si="1"/>
        <v>-24582.890000000014</v>
      </c>
      <c r="D12" s="112">
        <f aca="true" t="shared" si="2" ref="D12:D18">+B12+C12</f>
        <v>275139914.11</v>
      </c>
      <c r="E12" s="112">
        <f t="shared" si="1"/>
        <v>60896885.510000005</v>
      </c>
      <c r="F12" s="112">
        <f t="shared" si="1"/>
        <v>60283515.23</v>
      </c>
      <c r="G12" s="112">
        <f t="shared" si="1"/>
        <v>214243028.60000002</v>
      </c>
    </row>
    <row r="13" spans="1:7" ht="15">
      <c r="A13" s="21" t="s">
        <v>429</v>
      </c>
      <c r="B13" s="112">
        <v>50169942</v>
      </c>
      <c r="C13" s="112">
        <v>0</v>
      </c>
      <c r="D13" s="112">
        <v>50169942</v>
      </c>
      <c r="E13" s="112">
        <v>7721685.75</v>
      </c>
      <c r="F13" s="112">
        <v>7638902.61</v>
      </c>
      <c r="G13" s="112">
        <f>D13-E13</f>
        <v>42448256.25</v>
      </c>
    </row>
    <row r="14" spans="1:7" ht="15">
      <c r="A14" s="21" t="s">
        <v>430</v>
      </c>
      <c r="B14" s="112">
        <v>224994555</v>
      </c>
      <c r="C14" s="112">
        <v>-24582.890000000014</v>
      </c>
      <c r="D14" s="112">
        <v>224969972.11</v>
      </c>
      <c r="E14" s="112">
        <v>53175199.760000005</v>
      </c>
      <c r="F14" s="112">
        <v>52644612.62</v>
      </c>
      <c r="G14" s="112">
        <f>D14-E14</f>
        <v>171794772.35000002</v>
      </c>
    </row>
    <row r="15" spans="1:7" ht="15">
      <c r="A15" s="20" t="s">
        <v>431</v>
      </c>
      <c r="B15" s="112">
        <v>631698632</v>
      </c>
      <c r="C15" s="112">
        <v>18017362.1</v>
      </c>
      <c r="D15" s="112">
        <v>649715994.0999999</v>
      </c>
      <c r="E15" s="112">
        <v>137646250.94000003</v>
      </c>
      <c r="F15" s="112">
        <v>136475138.14000002</v>
      </c>
      <c r="G15" s="112">
        <f>D15-E15</f>
        <v>512069743.15999985</v>
      </c>
    </row>
    <row r="16" spans="1:7" ht="15">
      <c r="A16" s="33" t="s">
        <v>432</v>
      </c>
      <c r="B16" s="112">
        <f aca="true" t="shared" si="3" ref="B16:G16">B17+B18</f>
        <v>0</v>
      </c>
      <c r="C16" s="112">
        <f t="shared" si="3"/>
        <v>0</v>
      </c>
      <c r="D16" s="112">
        <f t="shared" si="2"/>
        <v>0</v>
      </c>
      <c r="E16" s="112">
        <f t="shared" si="3"/>
        <v>0</v>
      </c>
      <c r="F16" s="112">
        <f t="shared" si="3"/>
        <v>0</v>
      </c>
      <c r="G16" s="112">
        <f t="shared" si="3"/>
        <v>0</v>
      </c>
    </row>
    <row r="17" spans="1:7" ht="15">
      <c r="A17" s="21" t="s">
        <v>433</v>
      </c>
      <c r="B17" s="112">
        <v>0</v>
      </c>
      <c r="C17" s="112">
        <v>0</v>
      </c>
      <c r="D17" s="112">
        <f t="shared" si="2"/>
        <v>0</v>
      </c>
      <c r="E17" s="112">
        <v>0</v>
      </c>
      <c r="F17" s="112">
        <v>0</v>
      </c>
      <c r="G17" s="112">
        <f>D17-E17</f>
        <v>0</v>
      </c>
    </row>
    <row r="18" spans="1:7" ht="15">
      <c r="A18" s="21" t="s">
        <v>434</v>
      </c>
      <c r="B18" s="112">
        <v>0</v>
      </c>
      <c r="C18" s="112">
        <v>0</v>
      </c>
      <c r="D18" s="112">
        <f t="shared" si="2"/>
        <v>0</v>
      </c>
      <c r="E18" s="112">
        <v>0</v>
      </c>
      <c r="F18" s="112">
        <v>0</v>
      </c>
      <c r="G18" s="112">
        <f>D18-E18</f>
        <v>0</v>
      </c>
    </row>
    <row r="19" spans="1:7" ht="15">
      <c r="A19" s="20" t="s">
        <v>435</v>
      </c>
      <c r="B19" s="112">
        <v>0</v>
      </c>
      <c r="C19" s="112">
        <v>0</v>
      </c>
      <c r="D19" s="112">
        <v>0</v>
      </c>
      <c r="E19" s="112">
        <v>0</v>
      </c>
      <c r="F19" s="112">
        <v>0</v>
      </c>
      <c r="G19" s="112">
        <f>D19-E19</f>
        <v>0</v>
      </c>
    </row>
    <row r="20" spans="1:7" ht="15">
      <c r="A20" s="34"/>
      <c r="B20" s="113"/>
      <c r="C20" s="113"/>
      <c r="D20" s="113"/>
      <c r="E20" s="113"/>
      <c r="F20" s="113"/>
      <c r="G20" s="113"/>
    </row>
    <row r="21" spans="1:8" ht="15">
      <c r="A21" s="26" t="s">
        <v>436</v>
      </c>
      <c r="B21" s="111">
        <f aca="true" t="shared" si="4" ref="B21:G21">SUM(B22,B23,B24,B27,B28,B31)</f>
        <v>4689278295</v>
      </c>
      <c r="C21" s="111">
        <f t="shared" si="4"/>
        <v>0</v>
      </c>
      <c r="D21" s="111">
        <f t="shared" si="4"/>
        <v>4689278295</v>
      </c>
      <c r="E21" s="111">
        <f t="shared" si="4"/>
        <v>1054386246.4100001</v>
      </c>
      <c r="F21" s="111">
        <f t="shared" si="4"/>
        <v>1054386246.4100001</v>
      </c>
      <c r="G21" s="111">
        <f t="shared" si="4"/>
        <v>3634892048.59</v>
      </c>
      <c r="H21" s="10"/>
    </row>
    <row r="22" spans="1:8" ht="15">
      <c r="A22" s="20" t="s">
        <v>426</v>
      </c>
      <c r="B22" s="112">
        <v>0</v>
      </c>
      <c r="C22" s="112">
        <v>0</v>
      </c>
      <c r="D22" s="112">
        <v>0</v>
      </c>
      <c r="E22" s="112">
        <v>0</v>
      </c>
      <c r="F22" s="112">
        <v>0</v>
      </c>
      <c r="G22" s="112">
        <f>D22-E22</f>
        <v>0</v>
      </c>
      <c r="H22" s="10"/>
    </row>
    <row r="23" spans="1:8" ht="15">
      <c r="A23" s="20" t="s">
        <v>427</v>
      </c>
      <c r="B23" s="112">
        <v>4689278295</v>
      </c>
      <c r="C23" s="112">
        <v>0</v>
      </c>
      <c r="D23" s="112">
        <v>4689278295</v>
      </c>
      <c r="E23" s="112">
        <v>1054386246.4100001</v>
      </c>
      <c r="F23" s="112">
        <v>1054386246.4100001</v>
      </c>
      <c r="G23" s="112">
        <f>D23-E23</f>
        <v>3634892048.59</v>
      </c>
      <c r="H23" s="10"/>
    </row>
    <row r="24" spans="1:8" ht="15">
      <c r="A24" s="20" t="s">
        <v>428</v>
      </c>
      <c r="B24" s="112">
        <f aca="true" t="shared" si="5" ref="B24:G24">B25+B26</f>
        <v>0</v>
      </c>
      <c r="C24" s="112">
        <f t="shared" si="5"/>
        <v>0</v>
      </c>
      <c r="D24" s="112">
        <f t="shared" si="5"/>
        <v>0</v>
      </c>
      <c r="E24" s="112">
        <f t="shared" si="5"/>
        <v>0</v>
      </c>
      <c r="F24" s="112">
        <f t="shared" si="5"/>
        <v>0</v>
      </c>
      <c r="G24" s="112">
        <f t="shared" si="5"/>
        <v>0</v>
      </c>
      <c r="H24" s="10"/>
    </row>
    <row r="25" spans="1:8" ht="15">
      <c r="A25" s="21" t="s">
        <v>429</v>
      </c>
      <c r="B25" s="112">
        <v>0</v>
      </c>
      <c r="C25" s="112">
        <v>0</v>
      </c>
      <c r="D25" s="112">
        <v>0</v>
      </c>
      <c r="E25" s="112">
        <v>0</v>
      </c>
      <c r="F25" s="112">
        <v>0</v>
      </c>
      <c r="G25" s="112">
        <f>D25-E25</f>
        <v>0</v>
      </c>
      <c r="H25" s="10"/>
    </row>
    <row r="26" spans="1:8" ht="15">
      <c r="A26" s="21" t="s">
        <v>430</v>
      </c>
      <c r="B26" s="112">
        <v>0</v>
      </c>
      <c r="C26" s="112">
        <v>0</v>
      </c>
      <c r="D26" s="112">
        <v>0</v>
      </c>
      <c r="E26" s="112">
        <v>0</v>
      </c>
      <c r="F26" s="112">
        <v>0</v>
      </c>
      <c r="G26" s="112">
        <f>D26-E26</f>
        <v>0</v>
      </c>
      <c r="H26" s="10"/>
    </row>
    <row r="27" spans="1:8" ht="15">
      <c r="A27" s="20" t="s">
        <v>431</v>
      </c>
      <c r="B27" s="112">
        <v>0</v>
      </c>
      <c r="C27" s="112">
        <v>0</v>
      </c>
      <c r="D27" s="112">
        <v>0</v>
      </c>
      <c r="E27" s="112">
        <v>0</v>
      </c>
      <c r="F27" s="112">
        <v>0</v>
      </c>
      <c r="G27" s="112">
        <f>D27-E27</f>
        <v>0</v>
      </c>
      <c r="H27" s="10"/>
    </row>
    <row r="28" spans="1:8" ht="15">
      <c r="A28" s="33" t="s">
        <v>432</v>
      </c>
      <c r="B28" s="112">
        <f aca="true" t="shared" si="6" ref="B28:G28">B29+B30</f>
        <v>0</v>
      </c>
      <c r="C28" s="112">
        <f t="shared" si="6"/>
        <v>0</v>
      </c>
      <c r="D28" s="112">
        <f t="shared" si="6"/>
        <v>0</v>
      </c>
      <c r="E28" s="112">
        <f t="shared" si="6"/>
        <v>0</v>
      </c>
      <c r="F28" s="112">
        <f t="shared" si="6"/>
        <v>0</v>
      </c>
      <c r="G28" s="112">
        <f t="shared" si="6"/>
        <v>0</v>
      </c>
      <c r="H28" s="10"/>
    </row>
    <row r="29" spans="1:8" ht="15">
      <c r="A29" s="21" t="s">
        <v>433</v>
      </c>
      <c r="B29" s="112">
        <v>0</v>
      </c>
      <c r="C29" s="112">
        <v>0</v>
      </c>
      <c r="D29" s="112">
        <v>0</v>
      </c>
      <c r="E29" s="112">
        <v>0</v>
      </c>
      <c r="F29" s="112">
        <v>0</v>
      </c>
      <c r="G29" s="112">
        <f>D29-E29</f>
        <v>0</v>
      </c>
      <c r="H29" s="10"/>
    </row>
    <row r="30" spans="1:8" ht="15">
      <c r="A30" s="21" t="s">
        <v>434</v>
      </c>
      <c r="B30" s="112">
        <v>0</v>
      </c>
      <c r="C30" s="112">
        <v>0</v>
      </c>
      <c r="D30" s="112">
        <v>0</v>
      </c>
      <c r="E30" s="112">
        <v>0</v>
      </c>
      <c r="F30" s="112">
        <v>0</v>
      </c>
      <c r="G30" s="112">
        <f>D30-E30</f>
        <v>0</v>
      </c>
      <c r="H30" s="10"/>
    </row>
    <row r="31" spans="1:8" ht="15">
      <c r="A31" s="20" t="s">
        <v>435</v>
      </c>
      <c r="B31" s="112">
        <v>0</v>
      </c>
      <c r="C31" s="112">
        <v>0</v>
      </c>
      <c r="D31" s="112">
        <v>0</v>
      </c>
      <c r="E31" s="112">
        <v>0</v>
      </c>
      <c r="F31" s="112">
        <v>0</v>
      </c>
      <c r="G31" s="112">
        <f>D31-E31</f>
        <v>0</v>
      </c>
      <c r="H31" s="10"/>
    </row>
    <row r="32" spans="1:7" ht="15">
      <c r="A32" s="34"/>
      <c r="B32" s="113"/>
      <c r="C32" s="113"/>
      <c r="D32" s="113"/>
      <c r="E32" s="113"/>
      <c r="F32" s="113"/>
      <c r="G32" s="113"/>
    </row>
    <row r="33" spans="1:7" ht="15">
      <c r="A33" s="23" t="s">
        <v>437</v>
      </c>
      <c r="B33" s="111">
        <f aca="true" t="shared" si="7" ref="B33:G33">B21+B9</f>
        <v>7514488413</v>
      </c>
      <c r="C33" s="111">
        <f t="shared" si="7"/>
        <v>10831309.410000002</v>
      </c>
      <c r="D33" s="111">
        <f t="shared" si="7"/>
        <v>7525319722.41</v>
      </c>
      <c r="E33" s="111">
        <f t="shared" si="7"/>
        <v>1608745059.51</v>
      </c>
      <c r="F33" s="111">
        <f t="shared" si="7"/>
        <v>1603823695.51</v>
      </c>
      <c r="G33" s="111">
        <f t="shared" si="7"/>
        <v>5916574662.9</v>
      </c>
    </row>
    <row r="34" spans="1:7" ht="15">
      <c r="A34" s="35"/>
      <c r="B34" s="133"/>
      <c r="C34" s="133"/>
      <c r="D34" s="133"/>
      <c r="E34" s="133"/>
      <c r="F34" s="133"/>
      <c r="G34" s="133"/>
    </row>
    <row r="35" spans="2:7" ht="15" hidden="1">
      <c r="B35" s="32"/>
      <c r="C35" s="32"/>
      <c r="D35" s="32"/>
      <c r="E35" s="32"/>
      <c r="F35" s="32"/>
      <c r="G35" s="32"/>
    </row>
    <row r="36" spans="2:7" ht="15" hidden="1">
      <c r="B36" s="32"/>
      <c r="C36" s="32"/>
      <c r="D36" s="32"/>
      <c r="E36" s="32"/>
      <c r="F36" s="32"/>
      <c r="G36" s="32"/>
    </row>
    <row r="37" spans="2:7" ht="15" hidden="1">
      <c r="B37" s="32"/>
      <c r="C37" s="32"/>
      <c r="D37" s="32"/>
      <c r="E37" s="32"/>
      <c r="F37" s="32"/>
      <c r="G37" s="32"/>
    </row>
    <row r="38" spans="2:7" ht="15" hidden="1">
      <c r="B38" s="32"/>
      <c r="C38" s="32"/>
      <c r="D38" s="32"/>
      <c r="E38" s="32"/>
      <c r="F38" s="32"/>
      <c r="G38" s="32"/>
    </row>
    <row r="39" spans="2:7" ht="15" hidden="1">
      <c r="B39" s="32"/>
      <c r="C39" s="32"/>
      <c r="D39" s="32"/>
      <c r="E39" s="32"/>
      <c r="F39" s="32"/>
      <c r="G39" s="32"/>
    </row>
    <row r="40" spans="2:7" ht="15" hidden="1">
      <c r="B40" s="32"/>
      <c r="C40" s="32"/>
      <c r="D40" s="32"/>
      <c r="E40" s="32"/>
      <c r="F40" s="32"/>
      <c r="G40" s="32"/>
    </row>
    <row r="41" spans="2:7" ht="15" hidden="1">
      <c r="B41" s="32"/>
      <c r="C41" s="32"/>
      <c r="D41" s="32"/>
      <c r="E41" s="32"/>
      <c r="F41" s="32"/>
      <c r="G41" s="32"/>
    </row>
    <row r="42" spans="2:7" ht="15" hidden="1">
      <c r="B42" s="32"/>
      <c r="C42" s="32"/>
      <c r="D42" s="32"/>
      <c r="E42" s="32"/>
      <c r="F42" s="32"/>
      <c r="G42" s="32"/>
    </row>
    <row r="43" spans="2:7" ht="15" hidden="1">
      <c r="B43" s="32"/>
      <c r="C43" s="32"/>
      <c r="D43" s="32"/>
      <c r="E43" s="32"/>
      <c r="F43" s="32"/>
      <c r="G43" s="32"/>
    </row>
    <row r="44" spans="2:7" ht="15" hidden="1">
      <c r="B44" s="32"/>
      <c r="C44" s="32"/>
      <c r="D44" s="32"/>
      <c r="E44" s="32"/>
      <c r="F44" s="32"/>
      <c r="G44" s="32"/>
    </row>
    <row r="45" spans="2:7" ht="15" hidden="1">
      <c r="B45" s="32"/>
      <c r="C45" s="32"/>
      <c r="D45" s="32"/>
      <c r="E45" s="32"/>
      <c r="F45" s="32"/>
      <c r="G45" s="32"/>
    </row>
    <row r="46" ht="15"/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-17976931348623100000000000000000000000000000000000000000000000000000000000000000000000000000000000000</formula1>
      <formula2>1.79769313486231E+100</formula2>
    </dataValidation>
  </dataValidations>
  <printOptions/>
  <pageMargins left="0.7086614173228347" right="0.31496062992125984" top="0.7480314960629921" bottom="0.7480314960629921" header="0.31496062992125984" footer="0.31496062992125984"/>
  <pageSetup fitToHeight="2" fitToWidth="1" horizontalDpi="600" verticalDpi="600" orientation="portrait" scale="40" r:id="rId1"/>
  <ignoredErrors>
    <ignoredError sqref="B9:F9 B12:C12 B16:C16 B21:F21 B24:F24 B28:F28 B33:F33 G9:G11 G13:G15 G17:G23 G25:G27 G29:G33 E12:F12 E16:F16 D17:D18" unlockedFormula="1"/>
    <ignoredError sqref="G12 G16 G24 G28 D16 D12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Elias</dc:creator>
  <cp:keywords/>
  <dc:description/>
  <cp:lastModifiedBy>Contabilidad12</cp:lastModifiedBy>
  <cp:lastPrinted>2021-09-03T18:14:22Z</cp:lastPrinted>
  <dcterms:created xsi:type="dcterms:W3CDTF">2019-07-09T15:27:10Z</dcterms:created>
  <dcterms:modified xsi:type="dcterms:W3CDTF">2022-04-29T17:33:48Z</dcterms:modified>
  <cp:category/>
  <cp:version/>
  <cp:contentType/>
  <cp:contentStatus/>
</cp:coreProperties>
</file>