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155" tabRatio="603" activeTab="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6 a)'!$A$1:$G$159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<sst xmlns="http://schemas.openxmlformats.org/spreadsheetml/2006/main" count="702" uniqueCount="485">
  <si>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</si>
  <si>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</si>
  <si>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</si>
  <si>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</si>
  <si>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</si>
  <si>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</si>
  <si>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</si>
  <si>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</si>
  <si>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</si>
  <si>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</si>
  <si>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</si>
  <si>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</si>
  <si>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</si>
  <si>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</si>
  <si>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</si>
  <si>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</si>
  <si>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</si>
  <si>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</si>
  <si>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</si>
  <si>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</si>
  <si>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</si>
  <si>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</si>
  <si>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</si>
  <si>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</si>
  <si>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</si>
  <si>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</si>
  <si>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</si>
  <si>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</si>
  <si>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</si>
  <si>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</si>
  <si>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</si>
  <si>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</si>
  <si>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</si>
  <si>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</si>
  <si>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</si>
  <si>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</si>
  <si>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</si>
  <si>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</si>
  <si>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</si>
  <si>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</si>
  <si>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</si>
  <si>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</si>
  <si>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</si>
  <si>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</si>
  <si>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</si>
  <si>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</si>
  <si>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</si>
  <si>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</si>
  <si>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</si>
  <si>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</si>
  <si>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</si>
  <si>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</si>
  <si>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</si>
  <si>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</si>
  <si>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</si>
  <si>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</si>
  <si>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</si>
  <si>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</si>
  <si>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</si>
  <si>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</si>
  <si>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</si>
  <si>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</si>
  <si>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</si>
  <si>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</si>
  <si>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</si>
  <si>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</si>
  <si>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</si>
  <si>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</si>
  <si>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</si>
  <si>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</si>
  <si>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</si>
  <si>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</si>
  <si>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</si>
  <si>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</si>
  <si>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</si>
  <si>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</si>
  <si>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</si>
  <si>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</si>
  <si>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</si>
  <si>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</si>
  <si>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</si>
  <si>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</si>
  <si>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</si>
  <si>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</si>
  <si>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</si>
  <si>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</si>
  <si>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</si>
  <si>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</si>
  <si>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</si>
  <si>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</si>
  <si>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</si>
  <si>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</si>
  <si>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</si>
  <si>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</si>
  <si>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</si>
  <si>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</si>
  <si>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</si>
  <si>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</si>
  <si>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</si>
  <si>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</si>
  <si>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</si>
  <si>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</si>
  <si>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</si>
  <si>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</si>
  <si>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</si>
  <si>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</si>
  <si>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</si>
  <si>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</si>
  <si>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</si>
  <si>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</si>
  <si>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</si>
  <si>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</si>
  <si>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</si>
  <si>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</si>
  <si>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</si>
  <si>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</si>
  <si>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</si>
  <si>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</si>
  <si>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</si>
  <si>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</si>
  <si>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</si>
  <si>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</si>
  <si>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</si>
  <si>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</si>
  <si>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</si>
  <si>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</si>
  <si>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</si>
  <si>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</si>
  <si>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</si>
  <si>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</si>
  <si>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</si>
  <si>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</si>
  <si>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</si>
  <si>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</si>
  <si>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</si>
  <si>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</si>
  <si>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</si>
  <si>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</si>
  <si>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</si>
  <si>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</si>
  <si>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</si>
  <si>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</si>
  <si>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</si>
  <si>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</si>
  <si>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</si>
  <si>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</si>
  <si>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</si>
  <si>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</si>
  <si>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</si>
  <si>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</si>
  <si>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</si>
  <si>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</si>
  <si>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</si>
  <si>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</si>
  <si>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</si>
  <si>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</si>
  <si>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</si>
  <si>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</si>
  <si>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</si>
  <si>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</si>
  <si>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</si>
  <si>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</si>
  <si>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</si>
  <si>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</si>
  <si>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</si>
  <si>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</si>
  <si>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</si>
  <si>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</si>
  <si>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</si>
  <si>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</si>
  <si>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</si>
  <si>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</si>
  <si>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</si>
  <si>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</si>
  <si>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</si>
  <si>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</si>
  <si>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</si>
  <si>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</si>
  <si>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</si>
  <si>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</si>
  <si>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</si>
  <si>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</si>
  <si>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</si>
  <si>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</si>
  <si>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</si>
  <si>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</si>
  <si>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</si>
  <si>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</si>
  <si>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</si>
  <si>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</si>
  <si>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</si>
  <si>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</si>
  <si>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</si>
  <si>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</si>
  <si>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</si>
  <si>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</si>
  <si>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</si>
  <si>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</si>
  <si>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</si>
  <si>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</si>
  <si>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</si>
  <si>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</si>
  <si>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</si>
  <si>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</si>
  <si>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</si>
  <si>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</si>
  <si>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</si>
  <si>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</si>
  <si>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</si>
  <si>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</si>
  <si>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</si>
  <si>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</si>
  <si>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</si>
  <si>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</si>
  <si>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</si>
  <si>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</si>
  <si>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</si>
  <si>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</si>
  <si>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</si>
  <si>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</si>
  <si>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</si>
  <si>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</si>
  <si>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</si>
  <si>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</si>
  <si>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</si>
  <si>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</si>
  <si>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</si>
  <si>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</si>
  <si>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</si>
  <si>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</si>
  <si>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</si>
  <si>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</si>
  <si>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</si>
  <si>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</si>
  <si>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</si>
  <si>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</si>
  <si>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</si>
  <si>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</si>
  <si>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</si>
  <si>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</si>
  <si>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</si>
  <si>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</si>
  <si>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</si>
  <si>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</si>
  <si>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</si>
  <si>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</si>
  <si>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</si>
  <si>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</si>
  <si>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</si>
  <si>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</si>
  <si>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</si>
  <si>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</si>
  <si>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</si>
  <si>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</si>
  <si>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</si>
  <si>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</si>
  <si>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</si>
  <si>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</si>
  <si>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</si>
  <si>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</si>
  <si>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</si>
  <si>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</si>
  <si>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</si>
  <si>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</si>
  <si>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</si>
  <si>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</si>
  <si>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</si>
  <si>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</si>
  <si>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</si>
  <si>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</si>
  <si>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</si>
  <si>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</si>
  <si>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</si>
  <si>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</si>
  <si>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</si>
  <si>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</si>
  <si>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</si>
  <si>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</si>
  <si>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</si>
  <si>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</si>
  <si>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</si>
  <si>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</si>
  <si>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</si>
  <si>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</si>
  <si>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</si>
  <si>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</si>
  <si>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</si>
  <si>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</si>
  <si>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</si>
  <si>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</si>
  <si>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</si>
  <si>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</si>
  <si>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</si>
  <si>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</si>
  <si>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</si>
  <si>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</si>
  <si>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</si>
  <si>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</si>
  <si>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</si>
  <si>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</si>
  <si>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</si>
  <si>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</si>
  <si>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</si>
  <si>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</si>
  <si>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</si>
  <si>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</si>
  <si>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</si>
  <si>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</si>
  <si>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</si>
  <si>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</si>
  <si>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</si>
  <si>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</si>
  <si>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</si>
  <si>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</si>
  <si>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</si>
  <si>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</si>
  <si>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</si>
  <si>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</si>
  <si>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</si>
  <si>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</si>
  <si>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</si>
  <si>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</si>
  <si>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</si>
  <si>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</si>
  <si>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</si>
  <si>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</si>
  <si>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</si>
  <si>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</si>
  <si>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</si>
  <si>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</si>
  <si>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</si>
  <si>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</si>
  <si>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</si>
  <si>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</si>
  <si>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</si>
  <si>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</si>
  <si>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</si>
  <si>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</si>
  <si>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</si>
  <si>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</si>
  <si>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</si>
  <si>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</si>
  <si>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</si>
  <si>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</si>
  <si>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</si>
  <si>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</si>
  <si>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</si>
  <si>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</si>
  <si>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</si>
  <si>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</si>
  <si>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</si>
  <si>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</si>
  <si>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</si>
  <si>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</si>
  <si>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</si>
  <si>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</si>
  <si>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</si>
  <si>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</si>
  <si>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</si>
  <si>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</si>
  <si>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</si>
  <si>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</si>
  <si>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</si>
  <si>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</si>
  <si>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</si>
  <si>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</si>
  <si>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</si>
  <si>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</si>
  <si>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</si>
  <si>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</si>
  <si>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</si>
  <si>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</si>
  <si>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</si>
  <si>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</si>
  <si>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</si>
  <si>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</si>
  <si>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</si>
  <si>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</si>
  <si>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</si>
  <si>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</si>
  <si>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</si>
  <si>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</si>
  <si>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</si>
  <si>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</si>
  <si>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</si>
  <si>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</si>
  <si>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</si>
  <si>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</si>
  <si>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</si>
  <si>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</si>
  <si>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</si>
  <si>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</si>
  <si>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</si>
  <si>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</si>
  <si>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</si>
  <si>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</si>
  <si>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</si>
  <si>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</si>
  <si>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</si>
  <si>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</si>
  <si>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</si>
  <si>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</si>
  <si>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</si>
  <si>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</si>
  <si>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</si>
  <si>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</si>
  <si>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</si>
  <si>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</si>
  <si>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</si>
  <si>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</si>
  <si>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</si>
  <si>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</si>
  <si>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</si>
  <si>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</si>
  <si>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</si>
  <si>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</si>
  <si>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</si>
  <si>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</si>
  <si>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</si>
  <si>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</si>
  <si>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</si>
  <si>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</si>
  <si>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</si>
  <si>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</si>
  <si>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</si>
  <si>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</si>
  <si>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</si>
  <si>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</si>
  <si>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</si>
  <si>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</si>
  <si>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</si>
  <si>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</si>
  <si>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</si>
  <si>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</si>
  <si>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</si>
  <si>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</si>
  <si>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</si>
  <si>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</si>
  <si>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</si>
  <si>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</si>
  <si>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</si>
  <si>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</si>
  <si>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</si>
  <si>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</si>
  <si>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</si>
  <si>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</si>
  <si>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</si>
  <si>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</si>
  <si>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</si>
  <si>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</si>
  <si>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</si>
  <si>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</si>
  <si>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</si>
  <si>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</si>
  <si>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</si>
  <si>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</si>
  <si>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Provisiones del Estado</t>
  </si>
  <si>
    <t>g5) Inversiones en Fideicomisos, Mandatos y Otros Análogos
        Fideicomiso de Desastres Naturales (Informativo)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</si>
  <si>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</si>
  <si>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</si>
  <si>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</si>
  <si>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</si>
  <si>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</si>
  <si>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</si>
  <si>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</si>
  <si>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</si>
  <si>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</si>
  <si>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</si>
  <si>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</si>
  <si>
    <t>J. Transferencias y Asignaciones</t>
  </si>
  <si>
    <t/>
  </si>
  <si>
    <t>D. Transferencias, Asignaciones, Subsidios y Subvenciones, y Pensiones y Jubilaciones</t>
  </si>
  <si>
    <t>2023 (d)</t>
  </si>
  <si>
    <t>31 de diciembre de 2022 (e)</t>
  </si>
  <si>
    <t>Saldo al 31 de diciembre de 2022 (d)</t>
  </si>
  <si>
    <t>BANAMEX, S. A.</t>
  </si>
  <si>
    <t>SANTANDER, S. A.</t>
  </si>
  <si>
    <t>BBVA BANCOMER, S. A.</t>
  </si>
  <si>
    <t>Del 1 enero al 30 de junio de 2023 (b)</t>
  </si>
  <si>
    <t>Del 1 de enero al 30 de junio de 2023 (b)</t>
  </si>
  <si>
    <t>Al 31 de diciembre de 2022 y al 30 de junio de 2023  (b)</t>
  </si>
  <si>
    <t>Del 1 de enero al 30 de junio de 2023(b)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</si>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</sst>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1080A]&quot;$&quot;#,##0.00"/>
    <numFmt numFmtId="180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sz val="10"/>
      <color indexed="8"/>
      <name val="Averta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sz val="10"/>
      <color theme="1"/>
      <name val="Averta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 diagonalUp="1">
      <left style="thin"/>
      <right>
        <color indexed="63"/>
      </right>
      <top/>
      <bottom/>
      <diagonal style="thin">
        <color theme="1" tint="0.49998000264167786"/>
      </diagonal>
    </border>
    <border diagonalUp="1">
      <left>
        <color indexed="63"/>
      </left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 indent="3"/>
    </xf>
    <xf numFmtId="171" fontId="44" fillId="0" borderId="14" xfId="47" applyFont="1" applyFill="1" applyBorder="1" applyAlignment="1" applyProtection="1">
      <alignment/>
      <protection locked="0"/>
    </xf>
    <xf numFmtId="171" fontId="47" fillId="33" borderId="15" xfId="47" applyFont="1" applyFill="1" applyBorder="1" applyAlignment="1">
      <alignment/>
    </xf>
    <xf numFmtId="171" fontId="48" fillId="33" borderId="15" xfId="47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 indent="6"/>
    </xf>
    <xf numFmtId="0" fontId="0" fillId="34" borderId="14" xfId="0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indent="3"/>
    </xf>
    <xf numFmtId="0" fontId="44" fillId="34" borderId="14" xfId="0" applyFont="1" applyFill="1" applyBorder="1" applyAlignment="1">
      <alignment horizontal="left" indent="3"/>
    </xf>
    <xf numFmtId="171" fontId="44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 indent="9"/>
    </xf>
    <xf numFmtId="0" fontId="0" fillId="34" borderId="0" xfId="0" applyFill="1" applyAlignment="1">
      <alignment/>
    </xf>
    <xf numFmtId="0" fontId="29" fillId="34" borderId="14" xfId="0" applyFont="1" applyFill="1" applyBorder="1" applyAlignment="1">
      <alignment vertical="center"/>
    </xf>
    <xf numFmtId="171" fontId="0" fillId="34" borderId="14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 vertical="center" wrapText="1" indent="3"/>
    </xf>
    <xf numFmtId="0" fontId="44" fillId="34" borderId="14" xfId="0" applyFont="1" applyFill="1" applyBorder="1" applyAlignment="1">
      <alignment horizontal="left" vertical="center" wrapText="1" indent="3"/>
    </xf>
    <xf numFmtId="0" fontId="0" fillId="34" borderId="16" xfId="0" applyFill="1" applyBorder="1" applyAlignment="1">
      <alignment horizontal="left" vertical="center" indent="6"/>
    </xf>
    <xf numFmtId="171" fontId="0" fillId="34" borderId="16" xfId="47" applyFont="1" applyFill="1" applyBorder="1" applyAlignment="1" applyProtection="1">
      <alignment/>
      <protection locked="0"/>
    </xf>
    <xf numFmtId="0" fontId="44" fillId="34" borderId="14" xfId="0" applyFont="1" applyFill="1" applyBorder="1" applyAlignment="1">
      <alignment horizontal="left" vertical="center" wrapText="1" indent="9"/>
    </xf>
    <xf numFmtId="171" fontId="44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 horizontal="left" vertical="center" indent="12"/>
    </xf>
    <xf numFmtId="171" fontId="0" fillId="34" borderId="14" xfId="47" applyFont="1" applyFill="1" applyBorder="1" applyAlignment="1" applyProtection="1">
      <alignment/>
      <protection locked="0"/>
    </xf>
    <xf numFmtId="171" fontId="0" fillId="34" borderId="16" xfId="47" applyFont="1" applyFill="1" applyBorder="1" applyAlignment="1" applyProtection="1">
      <alignment vertical="center"/>
      <protection locked="0"/>
    </xf>
    <xf numFmtId="0" fontId="44" fillId="34" borderId="14" xfId="0" applyFont="1" applyFill="1" applyBorder="1" applyAlignment="1">
      <alignment vertical="center"/>
    </xf>
    <xf numFmtId="171" fontId="44" fillId="34" borderId="14" xfId="47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3"/>
    </xf>
    <xf numFmtId="0" fontId="44" fillId="34" borderId="13" xfId="0" applyFont="1" applyFill="1" applyBorder="1" applyAlignment="1">
      <alignment horizontal="left" vertical="center" wrapText="1" indent="3"/>
    </xf>
    <xf numFmtId="171" fontId="44" fillId="34" borderId="14" xfId="47" applyFont="1" applyFill="1" applyBorder="1" applyAlignment="1">
      <alignment/>
    </xf>
    <xf numFmtId="171" fontId="0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 applyProtection="1">
      <alignment vertical="center"/>
      <protection locked="0"/>
    </xf>
    <xf numFmtId="16" fontId="0" fillId="34" borderId="14" xfId="0" applyNumberFormat="1" applyFill="1" applyBorder="1" applyAlignment="1">
      <alignment vertical="center"/>
    </xf>
    <xf numFmtId="0" fontId="44" fillId="34" borderId="14" xfId="0" applyFont="1" applyFill="1" applyBorder="1" applyAlignment="1">
      <alignment horizontal="left" vertical="center" indent="2"/>
    </xf>
    <xf numFmtId="0" fontId="29" fillId="34" borderId="14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indent="3"/>
    </xf>
    <xf numFmtId="0" fontId="0" fillId="34" borderId="17" xfId="0" applyFill="1" applyBorder="1" applyAlignment="1">
      <alignment horizontal="left" vertical="center" indent="5"/>
    </xf>
    <xf numFmtId="0" fontId="0" fillId="34" borderId="17" xfId="0" applyFill="1" applyBorder="1" applyAlignment="1">
      <alignment horizontal="left" vertical="center" indent="7"/>
    </xf>
    <xf numFmtId="0" fontId="0" fillId="34" borderId="17" xfId="0" applyFill="1" applyBorder="1" applyAlignment="1" applyProtection="1">
      <alignment horizontal="left" vertical="center" indent="5"/>
      <protection locked="0"/>
    </xf>
    <xf numFmtId="0" fontId="29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9" fillId="34" borderId="13" xfId="0" applyFont="1" applyFill="1" applyBorder="1" applyAlignment="1">
      <alignment/>
    </xf>
    <xf numFmtId="0" fontId="44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4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4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4" fontId="44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>
      <alignment vertical="center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>
      <alignment/>
    </xf>
    <xf numFmtId="4" fontId="0" fillId="34" borderId="14" xfId="47" applyNumberFormat="1" applyFont="1" applyFill="1" applyBorder="1" applyAlignment="1">
      <alignment/>
    </xf>
    <xf numFmtId="4" fontId="44" fillId="0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0" fillId="33" borderId="15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 vertical="center"/>
    </xf>
    <xf numFmtId="4" fontId="0" fillId="0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/>
    </xf>
    <xf numFmtId="4" fontId="0" fillId="0" borderId="14" xfId="47" applyNumberFormat="1" applyFont="1" applyFill="1" applyBorder="1" applyAlignment="1" applyProtection="1">
      <alignment/>
      <protection locked="0"/>
    </xf>
    <xf numFmtId="4" fontId="44" fillId="34" borderId="16" xfId="47" applyNumberFormat="1" applyFont="1" applyFill="1" applyBorder="1" applyAlignment="1" applyProtection="1">
      <alignment vertical="center"/>
      <protection locked="0"/>
    </xf>
    <xf numFmtId="4" fontId="44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4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4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 indent="3"/>
    </xf>
    <xf numFmtId="173" fontId="49" fillId="0" borderId="20" xfId="0" applyNumberFormat="1" applyFont="1" applyFill="1" applyBorder="1" applyAlignment="1">
      <alignment horizontal="right" vertical="center" wrapText="1" readingOrder="1"/>
    </xf>
    <xf numFmtId="173" fontId="49" fillId="0" borderId="13" xfId="0" applyNumberFormat="1" applyFont="1" applyFill="1" applyBorder="1" applyAlignment="1">
      <alignment horizontal="right" vertical="center" wrapText="1" readingOrder="1"/>
    </xf>
    <xf numFmtId="173" fontId="49" fillId="0" borderId="21" xfId="0" applyNumberFormat="1" applyFont="1" applyFill="1" applyBorder="1" applyAlignment="1">
      <alignment horizontal="right" vertical="center" wrapText="1" readingOrder="1"/>
    </xf>
    <xf numFmtId="173" fontId="49" fillId="0" borderId="22" xfId="0" applyNumberFormat="1" applyFont="1" applyFill="1" applyBorder="1" applyAlignment="1">
      <alignment horizontal="right" vertical="center" wrapText="1" readingOrder="1"/>
    </xf>
    <xf numFmtId="4" fontId="0" fillId="34" borderId="17" xfId="47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4" fontId="44" fillId="34" borderId="14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/>
    </xf>
    <xf numFmtId="173" fontId="50" fillId="0" borderId="14" xfId="47" applyNumberFormat="1" applyFont="1" applyBorder="1" applyAlignment="1">
      <alignment/>
    </xf>
    <xf numFmtId="171" fontId="44" fillId="34" borderId="14" xfId="47" applyFont="1" applyFill="1" applyBorder="1" applyAlignment="1" applyProtection="1">
      <alignment/>
      <protection/>
    </xf>
    <xf numFmtId="0" fontId="44" fillId="0" borderId="17" xfId="0" applyFont="1" applyFill="1" applyBorder="1" applyAlignment="1">
      <alignment horizontal="left" vertical="center" indent="3"/>
    </xf>
    <xf numFmtId="4" fontId="0" fillId="0" borderId="15" xfId="4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4" xfId="47" applyNumberFormat="1" applyFont="1" applyFill="1" applyBorder="1" applyAlignment="1">
      <alignment/>
    </xf>
    <xf numFmtId="4" fontId="0" fillId="0" borderId="25" xfId="47" applyNumberFormat="1" applyFont="1" applyFill="1" applyBorder="1" applyAlignment="1">
      <alignment/>
    </xf>
    <xf numFmtId="4" fontId="44" fillId="0" borderId="14" xfId="47" applyNumberFormat="1" applyFont="1" applyFill="1" applyBorder="1" applyAlignment="1">
      <alignment/>
    </xf>
    <xf numFmtId="4" fontId="44" fillId="34" borderId="13" xfId="47" applyNumberFormat="1" applyFont="1" applyFill="1" applyBorder="1" applyAlignment="1" applyProtection="1">
      <alignment vertical="center"/>
      <protection locked="0"/>
    </xf>
    <xf numFmtId="4" fontId="0" fillId="34" borderId="0" xfId="47" applyNumberFormat="1" applyFont="1" applyFill="1" applyBorder="1" applyAlignment="1" applyProtection="1">
      <alignment vertical="center"/>
      <protection locked="0"/>
    </xf>
    <xf numFmtId="0" fontId="44" fillId="34" borderId="14" xfId="0" applyFont="1" applyFill="1" applyBorder="1" applyAlignment="1">
      <alignment horizontal="left" vertical="center"/>
    </xf>
    <xf numFmtId="0" fontId="0" fillId="34" borderId="14" xfId="0" applyFill="1" applyBorder="1" applyAlignment="1" applyProtection="1">
      <alignment horizontal="left" vertical="center" indent="2"/>
      <protection locked="0"/>
    </xf>
    <xf numFmtId="0" fontId="44" fillId="34" borderId="16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 indent="2"/>
    </xf>
    <xf numFmtId="0" fontId="0" fillId="34" borderId="14" xfId="0" applyFill="1" applyBorder="1" applyAlignment="1">
      <alignment horizontal="left" vertical="center" wrapText="1" indent="4"/>
    </xf>
    <xf numFmtId="0" fontId="0" fillId="34" borderId="14" xfId="0" applyFill="1" applyBorder="1" applyAlignment="1">
      <alignment horizontal="left" wrapText="1" indent="4"/>
    </xf>
    <xf numFmtId="0" fontId="0" fillId="34" borderId="14" xfId="0" applyFill="1" applyBorder="1" applyAlignment="1">
      <alignment horizontal="left" vertical="center" wrapText="1" indent="2"/>
    </xf>
    <xf numFmtId="0" fontId="44" fillId="34" borderId="14" xfId="0" applyFont="1" applyFill="1" applyBorder="1" applyAlignment="1">
      <alignment horizontal="left" vertical="center" wrapText="1" indent="2"/>
    </xf>
    <xf numFmtId="0" fontId="0" fillId="34" borderId="14" xfId="0" applyFill="1" applyBorder="1" applyAlignment="1">
      <alignment horizontal="left" vertical="center"/>
    </xf>
    <xf numFmtId="0" fontId="0" fillId="34" borderId="14" xfId="0" applyFill="1" applyBorder="1" applyAlignment="1">
      <alignment horizontal="left" indent="2"/>
    </xf>
    <xf numFmtId="0" fontId="0" fillId="34" borderId="13" xfId="0" applyFill="1" applyBorder="1" applyAlignment="1">
      <alignment horizontal="left" vertical="center" indent="2"/>
    </xf>
    <xf numFmtId="0" fontId="44" fillId="34" borderId="14" xfId="0" applyFont="1" applyFill="1" applyBorder="1" applyAlignment="1">
      <alignment horizontal="left"/>
    </xf>
    <xf numFmtId="0" fontId="0" fillId="34" borderId="14" xfId="0" applyFill="1" applyBorder="1" applyAlignment="1" applyProtection="1">
      <alignment horizontal="left" vertical="center" wrapText="1" indent="2"/>
      <protection locked="0"/>
    </xf>
    <xf numFmtId="0" fontId="0" fillId="34" borderId="14" xfId="0" applyFill="1" applyBorder="1" applyAlignment="1">
      <alignment horizontal="left" wrapText="1" indent="3"/>
    </xf>
    <xf numFmtId="0" fontId="0" fillId="34" borderId="14" xfId="0" applyFill="1" applyBorder="1" applyAlignment="1">
      <alignment horizontal="left" vertical="center" wrapText="1"/>
    </xf>
    <xf numFmtId="0" fontId="45" fillId="34" borderId="26" xfId="0" applyFont="1" applyFill="1" applyBorder="1" applyAlignment="1">
      <alignment horizontal="left" vertical="center"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51" fillId="34" borderId="26" xfId="0" applyFont="1" applyFill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25">
      <selection activeCell="E22" sqref="E22"/>
    </sheetView>
  </sheetViews>
  <sheetFormatPr defaultColWidth="1.8515625" defaultRowHeight="15" zeroHeight="1"/>
  <cols>
    <col min="1" max="1" width="90.8515625" style="0" customWidth="1"/>
    <col min="2" max="3" width="20.00390625" style="79" customWidth="1"/>
    <col min="4" max="4" width="94.421875" style="0" customWidth="1"/>
    <col min="5" max="6" width="20.00390625" style="79" customWidth="1"/>
    <col min="7" max="255" width="11.421875" style="0" hidden="1" customWidth="1"/>
  </cols>
  <sheetData>
    <row r="1" spans="1:6" ht="21">
      <c r="A1" s="145" t="s">
        <v>0</v>
      </c>
      <c r="B1" s="145"/>
      <c r="C1" s="145"/>
      <c r="D1" s="145"/>
      <c r="E1" s="145"/>
      <c r="F1" s="145"/>
    </row>
    <row r="2" spans="1:6" ht="15">
      <c r="A2" s="146" t="s">
        <v>289</v>
      </c>
      <c r="B2" s="147"/>
      <c r="C2" s="147"/>
      <c r="D2" s="147"/>
      <c r="E2" s="147"/>
      <c r="F2" s="148"/>
    </row>
    <row r="3" spans="1:6" ht="15">
      <c r="A3" s="149" t="s">
        <v>1</v>
      </c>
      <c r="B3" s="150"/>
      <c r="C3" s="150"/>
      <c r="D3" s="150"/>
      <c r="E3" s="150"/>
      <c r="F3" s="151"/>
    </row>
    <row r="4" spans="1:6" ht="15">
      <c r="A4" s="152" t="s">
        <v>480</v>
      </c>
      <c r="B4" s="153"/>
      <c r="C4" s="153"/>
      <c r="D4" s="153"/>
      <c r="E4" s="153"/>
      <c r="F4" s="154"/>
    </row>
    <row r="5" spans="1:6" ht="15">
      <c r="A5" s="155" t="s">
        <v>2</v>
      </c>
      <c r="B5" s="156"/>
      <c r="C5" s="156"/>
      <c r="D5" s="156"/>
      <c r="E5" s="156"/>
      <c r="F5" s="157"/>
    </row>
    <row r="6" spans="1:6" ht="30">
      <c r="A6" s="1" t="s">
        <v>3</v>
      </c>
      <c r="B6" s="73" t="s">
        <v>472</v>
      </c>
      <c r="C6" s="80" t="s">
        <v>473</v>
      </c>
      <c r="D6" s="3" t="s">
        <v>4</v>
      </c>
      <c r="E6" s="73" t="s">
        <v>472</v>
      </c>
      <c r="F6" s="80" t="s">
        <v>473</v>
      </c>
    </row>
    <row r="7" spans="1:6" ht="15">
      <c r="A7" s="54" t="s">
        <v>5</v>
      </c>
      <c r="B7" s="74"/>
      <c r="C7" s="74"/>
      <c r="D7" s="64" t="s">
        <v>6</v>
      </c>
      <c r="E7" s="74"/>
      <c r="F7" s="74"/>
    </row>
    <row r="8" spans="1:6" ht="15">
      <c r="A8" s="54" t="s">
        <v>7</v>
      </c>
      <c r="B8" s="74"/>
      <c r="C8" s="74"/>
      <c r="D8" s="64" t="s">
        <v>8</v>
      </c>
      <c r="E8" s="74"/>
      <c r="F8" s="74"/>
    </row>
    <row r="9" spans="1:6" ht="15">
      <c r="A9" s="20" t="s">
        <v>9</v>
      </c>
      <c r="B9" s="77">
        <f>SUM(B10:B16)</f>
        <v>5493286806.139999</v>
      </c>
      <c r="C9" s="77">
        <f>SUM(C10:C16)</f>
        <v>2526247681.0299997</v>
      </c>
      <c r="D9" s="104" t="s">
        <v>10</v>
      </c>
      <c r="E9" s="77">
        <f>SUM(E10:E18)</f>
        <v>136431177.29</v>
      </c>
      <c r="F9" s="77">
        <f>SUM(F10:F18)</f>
        <v>105408768.33</v>
      </c>
    </row>
    <row r="10" spans="1:6" ht="15">
      <c r="A10" s="66" t="s">
        <v>11</v>
      </c>
      <c r="B10" s="115">
        <v>265200</v>
      </c>
      <c r="C10" s="115">
        <v>165200</v>
      </c>
      <c r="D10" s="67" t="s">
        <v>12</v>
      </c>
      <c r="E10" s="75">
        <v>0</v>
      </c>
      <c r="F10" s="115">
        <v>0</v>
      </c>
    </row>
    <row r="11" spans="1:6" ht="15">
      <c r="A11" s="66" t="s">
        <v>13</v>
      </c>
      <c r="B11" s="115">
        <v>1017095629.15</v>
      </c>
      <c r="C11" s="115">
        <v>383256385.64</v>
      </c>
      <c r="D11" s="67" t="s">
        <v>14</v>
      </c>
      <c r="E11" s="115">
        <v>0</v>
      </c>
      <c r="F11" s="115">
        <v>4069266.54</v>
      </c>
    </row>
    <row r="12" spans="1:6" ht="15">
      <c r="A12" s="66" t="s">
        <v>15</v>
      </c>
      <c r="B12" s="75">
        <v>0</v>
      </c>
      <c r="C12" s="115">
        <v>0</v>
      </c>
      <c r="D12" s="67" t="s">
        <v>16</v>
      </c>
      <c r="E12" s="115">
        <v>0</v>
      </c>
      <c r="F12" s="115">
        <v>33555506.43</v>
      </c>
    </row>
    <row r="13" spans="1:6" ht="15">
      <c r="A13" s="66" t="s">
        <v>17</v>
      </c>
      <c r="B13" s="115">
        <v>4319964135.58</v>
      </c>
      <c r="C13" s="115">
        <v>2020714406.71</v>
      </c>
      <c r="D13" s="67" t="s">
        <v>18</v>
      </c>
      <c r="E13" s="115">
        <v>0</v>
      </c>
      <c r="F13" s="115">
        <v>25960050</v>
      </c>
    </row>
    <row r="14" spans="1:6" ht="15">
      <c r="A14" s="66" t="s">
        <v>19</v>
      </c>
      <c r="B14" s="75">
        <v>0</v>
      </c>
      <c r="C14" s="115">
        <v>0</v>
      </c>
      <c r="D14" s="67" t="s">
        <v>20</v>
      </c>
      <c r="E14" s="115">
        <v>0</v>
      </c>
      <c r="F14" s="115">
        <v>333733.7</v>
      </c>
    </row>
    <row r="15" spans="1:6" ht="15">
      <c r="A15" s="66" t="s">
        <v>21</v>
      </c>
      <c r="B15" s="115">
        <v>155961841.41</v>
      </c>
      <c r="C15" s="115">
        <v>122111688.68</v>
      </c>
      <c r="D15" s="67" t="s">
        <v>22</v>
      </c>
      <c r="E15" s="75">
        <v>0</v>
      </c>
      <c r="F15" s="115">
        <v>0</v>
      </c>
    </row>
    <row r="16" spans="1:6" ht="15">
      <c r="A16" s="66" t="s">
        <v>23</v>
      </c>
      <c r="B16" s="75">
        <v>0</v>
      </c>
      <c r="C16" s="115">
        <v>0</v>
      </c>
      <c r="D16" s="67" t="s">
        <v>24</v>
      </c>
      <c r="E16" s="115">
        <v>100905236.42</v>
      </c>
      <c r="F16" s="115">
        <v>4125105.77</v>
      </c>
    </row>
    <row r="17" spans="1:6" ht="15">
      <c r="A17" s="20" t="s">
        <v>25</v>
      </c>
      <c r="B17" s="77">
        <f>SUM(B18:B24)</f>
        <v>22516130.82</v>
      </c>
      <c r="C17" s="77">
        <f>SUM(C18:C24)</f>
        <v>16328770.48</v>
      </c>
      <c r="D17" s="67" t="s">
        <v>26</v>
      </c>
      <c r="E17" s="75">
        <v>0</v>
      </c>
      <c r="F17" s="115">
        <v>0</v>
      </c>
    </row>
    <row r="18" spans="1:6" ht="15">
      <c r="A18" s="68" t="s">
        <v>27</v>
      </c>
      <c r="B18" s="75">
        <v>0</v>
      </c>
      <c r="C18" s="115">
        <v>0</v>
      </c>
      <c r="D18" s="67" t="s">
        <v>28</v>
      </c>
      <c r="E18" s="115">
        <v>35525940.87</v>
      </c>
      <c r="F18" s="115">
        <v>37365105.89</v>
      </c>
    </row>
    <row r="19" spans="1:6" ht="15">
      <c r="A19" s="68" t="s">
        <v>29</v>
      </c>
      <c r="B19" s="75">
        <v>0</v>
      </c>
      <c r="C19" s="115">
        <v>0</v>
      </c>
      <c r="D19" s="104" t="s">
        <v>30</v>
      </c>
      <c r="E19" s="77">
        <f>SUM(E20:E22)</f>
        <v>0</v>
      </c>
      <c r="F19" s="77">
        <f>SUM(F20:F22)</f>
        <v>0</v>
      </c>
    </row>
    <row r="20" spans="1:6" ht="15">
      <c r="A20" s="68" t="s">
        <v>31</v>
      </c>
      <c r="B20" s="115">
        <v>7857495.32</v>
      </c>
      <c r="C20" s="115">
        <v>375666.08</v>
      </c>
      <c r="D20" s="67" t="s">
        <v>32</v>
      </c>
      <c r="E20" s="75">
        <v>0</v>
      </c>
      <c r="F20" s="115">
        <v>0</v>
      </c>
    </row>
    <row r="21" spans="1:6" ht="15">
      <c r="A21" s="68" t="s">
        <v>33</v>
      </c>
      <c r="B21" s="115">
        <v>1972614</v>
      </c>
      <c r="C21" s="115">
        <v>1444637</v>
      </c>
      <c r="D21" s="67" t="s">
        <v>34</v>
      </c>
      <c r="E21" s="75">
        <v>0</v>
      </c>
      <c r="F21" s="115">
        <v>0</v>
      </c>
    </row>
    <row r="22" spans="1:6" ht="15">
      <c r="A22" s="68" t="s">
        <v>35</v>
      </c>
      <c r="B22" s="115">
        <v>12073282.1</v>
      </c>
      <c r="C22" s="115">
        <v>13895728</v>
      </c>
      <c r="D22" s="67" t="s">
        <v>36</v>
      </c>
      <c r="E22" s="75">
        <v>0</v>
      </c>
      <c r="F22" s="115">
        <v>0</v>
      </c>
    </row>
    <row r="23" spans="1:6" ht="15">
      <c r="A23" s="68" t="s">
        <v>37</v>
      </c>
      <c r="B23" s="115">
        <v>612739.4</v>
      </c>
      <c r="C23" s="115">
        <v>612739.4</v>
      </c>
      <c r="D23" s="104" t="s">
        <v>38</v>
      </c>
      <c r="E23" s="77">
        <f>E24+E25</f>
        <v>61493952.48</v>
      </c>
      <c r="F23" s="77">
        <f>F24+F25</f>
        <v>57233999.46</v>
      </c>
    </row>
    <row r="24" spans="1:6" ht="15">
      <c r="A24" s="68" t="s">
        <v>39</v>
      </c>
      <c r="B24" s="75">
        <v>0</v>
      </c>
      <c r="C24" s="115">
        <v>0</v>
      </c>
      <c r="D24" s="67" t="s">
        <v>40</v>
      </c>
      <c r="E24" s="115">
        <v>61493952.48</v>
      </c>
      <c r="F24" s="115">
        <v>57233999.46</v>
      </c>
    </row>
    <row r="25" spans="1:6" ht="15">
      <c r="A25" s="20" t="s">
        <v>41</v>
      </c>
      <c r="B25" s="77">
        <f>SUM(B26:B30)</f>
        <v>40713183.35</v>
      </c>
      <c r="C25" s="77">
        <f>SUM(C26:C30)</f>
        <v>45139279.75</v>
      </c>
      <c r="D25" s="67" t="s">
        <v>42</v>
      </c>
      <c r="E25" s="75">
        <v>0</v>
      </c>
      <c r="F25" s="115">
        <v>0</v>
      </c>
    </row>
    <row r="26" spans="1:6" ht="15">
      <c r="A26" s="68" t="s">
        <v>43</v>
      </c>
      <c r="B26" s="75">
        <v>0</v>
      </c>
      <c r="C26" s="115">
        <v>0</v>
      </c>
      <c r="D26" s="104" t="s">
        <v>44</v>
      </c>
      <c r="E26" s="77">
        <v>0</v>
      </c>
      <c r="F26" s="77">
        <v>0</v>
      </c>
    </row>
    <row r="27" spans="1:6" ht="15">
      <c r="A27" s="68" t="s">
        <v>45</v>
      </c>
      <c r="B27" s="115">
        <v>5364231.97</v>
      </c>
      <c r="C27" s="115">
        <v>4033063.32</v>
      </c>
      <c r="D27" s="104" t="s">
        <v>46</v>
      </c>
      <c r="E27" s="77">
        <f>SUM(E28:E30)</f>
        <v>0</v>
      </c>
      <c r="F27" s="77">
        <f>SUM(F28:F30)</f>
        <v>0</v>
      </c>
    </row>
    <row r="28" spans="1:6" ht="15">
      <c r="A28" s="68" t="s">
        <v>47</v>
      </c>
      <c r="B28" s="75">
        <v>0</v>
      </c>
      <c r="C28" s="115">
        <v>732152.52</v>
      </c>
      <c r="D28" s="67" t="s">
        <v>48</v>
      </c>
      <c r="E28" s="75">
        <v>0</v>
      </c>
      <c r="F28" s="115">
        <v>0</v>
      </c>
    </row>
    <row r="29" spans="1:6" ht="15">
      <c r="A29" s="68" t="s">
        <v>49</v>
      </c>
      <c r="B29" s="115">
        <v>35348951.38</v>
      </c>
      <c r="C29" s="115">
        <v>40374063.91</v>
      </c>
      <c r="D29" s="67" t="s">
        <v>50</v>
      </c>
      <c r="E29" s="75">
        <v>0</v>
      </c>
      <c r="F29" s="115">
        <v>0</v>
      </c>
    </row>
    <row r="30" spans="1:6" ht="15">
      <c r="A30" s="68" t="s">
        <v>51</v>
      </c>
      <c r="B30" s="75">
        <v>0</v>
      </c>
      <c r="C30" s="115">
        <v>0</v>
      </c>
      <c r="D30" s="67" t="s">
        <v>52</v>
      </c>
      <c r="E30" s="75">
        <v>0</v>
      </c>
      <c r="F30" s="115">
        <v>0</v>
      </c>
    </row>
    <row r="31" spans="1:6" ht="15">
      <c r="A31" s="20" t="s">
        <v>53</v>
      </c>
      <c r="B31" s="77">
        <f>SUM(B32:B36)</f>
        <v>0</v>
      </c>
      <c r="C31" s="77">
        <f>SUM(C32:C36)</f>
        <v>0</v>
      </c>
      <c r="D31" s="104" t="s">
        <v>54</v>
      </c>
      <c r="E31" s="77">
        <f>SUM(E32:E37)</f>
        <v>142427072.15</v>
      </c>
      <c r="F31" s="77">
        <f>SUM(F32:F37)</f>
        <v>112736731.47</v>
      </c>
    </row>
    <row r="32" spans="1:6" ht="15">
      <c r="A32" s="68" t="s">
        <v>55</v>
      </c>
      <c r="B32" s="75">
        <v>0</v>
      </c>
      <c r="C32" s="115">
        <v>0</v>
      </c>
      <c r="D32" s="67" t="s">
        <v>56</v>
      </c>
      <c r="E32" s="115">
        <v>66824555.26</v>
      </c>
      <c r="F32" s="115">
        <v>68909066.32</v>
      </c>
    </row>
    <row r="33" spans="1:6" ht="15">
      <c r="A33" s="68" t="s">
        <v>57</v>
      </c>
      <c r="B33" s="75">
        <v>0</v>
      </c>
      <c r="C33" s="115">
        <v>0</v>
      </c>
      <c r="D33" s="67" t="s">
        <v>58</v>
      </c>
      <c r="E33" s="115">
        <v>75602516.89</v>
      </c>
      <c r="F33" s="115">
        <v>43827665.15</v>
      </c>
    </row>
    <row r="34" spans="1:6" ht="15">
      <c r="A34" s="68" t="s">
        <v>59</v>
      </c>
      <c r="B34" s="75">
        <v>0</v>
      </c>
      <c r="C34" s="115">
        <v>0</v>
      </c>
      <c r="D34" s="67" t="s">
        <v>60</v>
      </c>
      <c r="E34" s="75">
        <v>0</v>
      </c>
      <c r="F34" s="115">
        <v>0</v>
      </c>
    </row>
    <row r="35" spans="1:6" ht="15">
      <c r="A35" s="68" t="s">
        <v>61</v>
      </c>
      <c r="B35" s="75">
        <v>0</v>
      </c>
      <c r="C35" s="115">
        <v>0</v>
      </c>
      <c r="D35" s="67" t="s">
        <v>62</v>
      </c>
      <c r="E35" s="75">
        <v>0</v>
      </c>
      <c r="F35" s="115">
        <v>0</v>
      </c>
    </row>
    <row r="36" spans="1:6" ht="15">
      <c r="A36" s="68" t="s">
        <v>63</v>
      </c>
      <c r="B36" s="75">
        <v>0</v>
      </c>
      <c r="C36" s="115">
        <v>0</v>
      </c>
      <c r="D36" s="67" t="s">
        <v>64</v>
      </c>
      <c r="E36" s="75">
        <v>0</v>
      </c>
      <c r="F36" s="115">
        <v>0</v>
      </c>
    </row>
    <row r="37" spans="1:6" ht="15">
      <c r="A37" s="20" t="s">
        <v>65</v>
      </c>
      <c r="B37" s="75">
        <v>0</v>
      </c>
      <c r="C37" s="115">
        <v>0</v>
      </c>
      <c r="D37" s="67" t="s">
        <v>66</v>
      </c>
      <c r="E37" s="75">
        <v>0</v>
      </c>
      <c r="F37" s="115">
        <v>0</v>
      </c>
    </row>
    <row r="38" spans="1:6" ht="15">
      <c r="A38" s="20" t="s">
        <v>67</v>
      </c>
      <c r="B38" s="77">
        <f>SUM(B39:B40)</f>
        <v>0</v>
      </c>
      <c r="C38" s="77">
        <f>SUM(C39:C40)</f>
        <v>0</v>
      </c>
      <c r="D38" s="104" t="s">
        <v>68</v>
      </c>
      <c r="E38" s="77">
        <f>SUM(E39:E41)</f>
        <v>0</v>
      </c>
      <c r="F38" s="77">
        <f>SUM(F39:F41)</f>
        <v>0</v>
      </c>
    </row>
    <row r="39" spans="1:6" ht="15">
      <c r="A39" s="68" t="s">
        <v>69</v>
      </c>
      <c r="B39" s="75">
        <v>0</v>
      </c>
      <c r="C39" s="115">
        <v>0</v>
      </c>
      <c r="D39" s="67" t="s">
        <v>70</v>
      </c>
      <c r="E39" s="75">
        <v>0</v>
      </c>
      <c r="F39" s="115">
        <v>0</v>
      </c>
    </row>
    <row r="40" spans="1:6" ht="15">
      <c r="A40" s="68" t="s">
        <v>71</v>
      </c>
      <c r="B40" s="75">
        <v>0</v>
      </c>
      <c r="C40" s="115">
        <v>0</v>
      </c>
      <c r="D40" s="67" t="s">
        <v>72</v>
      </c>
      <c r="E40" s="75">
        <v>0</v>
      </c>
      <c r="F40" s="115">
        <v>0</v>
      </c>
    </row>
    <row r="41" spans="1:6" ht="15">
      <c r="A41" s="20" t="s">
        <v>73</v>
      </c>
      <c r="B41" s="77">
        <f>SUM(B42:B45)</f>
        <v>368745</v>
      </c>
      <c r="C41" s="77">
        <f>SUM(C42:C45)</f>
        <v>368745</v>
      </c>
      <c r="D41" s="67" t="s">
        <v>74</v>
      </c>
      <c r="E41" s="75">
        <v>0</v>
      </c>
      <c r="F41" s="115">
        <v>0</v>
      </c>
    </row>
    <row r="42" spans="1:6" ht="15">
      <c r="A42" s="68" t="s">
        <v>75</v>
      </c>
      <c r="B42" s="75">
        <v>368745</v>
      </c>
      <c r="C42" s="115">
        <v>368745</v>
      </c>
      <c r="D42" s="104" t="s">
        <v>76</v>
      </c>
      <c r="E42" s="77">
        <f>SUM(E43:E45)</f>
        <v>0</v>
      </c>
      <c r="F42" s="77">
        <f>SUM(F43:F45)</f>
        <v>0</v>
      </c>
    </row>
    <row r="43" spans="1:6" ht="15">
      <c r="A43" s="68" t="s">
        <v>77</v>
      </c>
      <c r="B43" s="75">
        <v>0</v>
      </c>
      <c r="C43" s="115">
        <v>0</v>
      </c>
      <c r="D43" s="67" t="s">
        <v>78</v>
      </c>
      <c r="E43" s="75">
        <v>0</v>
      </c>
      <c r="F43" s="115">
        <v>0</v>
      </c>
    </row>
    <row r="44" spans="1:6" ht="15">
      <c r="A44" s="68" t="s">
        <v>79</v>
      </c>
      <c r="B44" s="75">
        <v>0</v>
      </c>
      <c r="C44" s="115">
        <v>0</v>
      </c>
      <c r="D44" s="67" t="s">
        <v>80</v>
      </c>
      <c r="E44" s="75">
        <v>0</v>
      </c>
      <c r="F44" s="115">
        <v>0</v>
      </c>
    </row>
    <row r="45" spans="1:6" ht="15">
      <c r="A45" s="68" t="s">
        <v>81</v>
      </c>
      <c r="B45" s="75">
        <v>0</v>
      </c>
      <c r="C45" s="115">
        <v>0</v>
      </c>
      <c r="D45" s="67" t="s">
        <v>82</v>
      </c>
      <c r="E45" s="75">
        <v>0</v>
      </c>
      <c r="F45" s="115">
        <v>0</v>
      </c>
    </row>
    <row r="46" spans="1:6" ht="15">
      <c r="A46" s="29"/>
      <c r="B46" s="76"/>
      <c r="C46" s="76"/>
      <c r="D46" s="29"/>
      <c r="E46" s="76"/>
      <c r="F46" s="76"/>
    </row>
    <row r="47" spans="1:6" ht="15">
      <c r="A47" s="20" t="s">
        <v>83</v>
      </c>
      <c r="B47" s="77">
        <f>B9+B17+B25+B31+B38+B41</f>
        <v>5556884865.309999</v>
      </c>
      <c r="C47" s="77">
        <f>C9+C17+C25+C31+C38+C41</f>
        <v>2588084476.2599998</v>
      </c>
      <c r="D47" s="64" t="s">
        <v>84</v>
      </c>
      <c r="E47" s="77">
        <f>E9+E19+E23+E26+E27+E31+E38+E42</f>
        <v>340352201.91999996</v>
      </c>
      <c r="F47" s="77">
        <f>F9+F19+F23+F26+F27+F31+F38+F42</f>
        <v>275379499.26</v>
      </c>
    </row>
    <row r="48" spans="1:6" ht="15">
      <c r="A48" s="29"/>
      <c r="B48" s="76"/>
      <c r="C48" s="76"/>
      <c r="D48" s="29"/>
      <c r="E48" s="76"/>
      <c r="F48" s="76"/>
    </row>
    <row r="49" spans="1:6" ht="15">
      <c r="A49" s="54" t="s">
        <v>85</v>
      </c>
      <c r="B49" s="76"/>
      <c r="C49" s="76"/>
      <c r="D49" s="64" t="s">
        <v>86</v>
      </c>
      <c r="E49" s="76"/>
      <c r="F49" s="76"/>
    </row>
    <row r="50" spans="1:6" ht="15">
      <c r="A50" s="19" t="s">
        <v>87</v>
      </c>
      <c r="B50" s="115">
        <v>142043813.94</v>
      </c>
      <c r="C50" s="115">
        <v>119738980.86</v>
      </c>
      <c r="D50" s="65" t="s">
        <v>88</v>
      </c>
      <c r="E50" s="75">
        <v>0</v>
      </c>
      <c r="F50" s="115">
        <v>0</v>
      </c>
    </row>
    <row r="51" spans="1:6" ht="15">
      <c r="A51" s="19" t="s">
        <v>89</v>
      </c>
      <c r="B51" s="115">
        <v>193822177.04</v>
      </c>
      <c r="C51" s="115">
        <v>208661740.03</v>
      </c>
      <c r="D51" s="65" t="s">
        <v>90</v>
      </c>
      <c r="E51" s="75">
        <v>0</v>
      </c>
      <c r="F51" s="115">
        <v>0</v>
      </c>
    </row>
    <row r="52" spans="1:6" ht="15">
      <c r="A52" s="19" t="s">
        <v>91</v>
      </c>
      <c r="B52" s="115">
        <v>14519772420.34</v>
      </c>
      <c r="C52" s="115">
        <v>14256468606.19</v>
      </c>
      <c r="D52" s="65" t="s">
        <v>92</v>
      </c>
      <c r="E52" s="115">
        <v>2118053143.1</v>
      </c>
      <c r="F52" s="115">
        <v>2149903579.08</v>
      </c>
    </row>
    <row r="53" spans="1:6" ht="15">
      <c r="A53" s="19" t="s">
        <v>93</v>
      </c>
      <c r="B53" s="115">
        <v>1779951769.43</v>
      </c>
      <c r="C53" s="115">
        <v>1758581380.8</v>
      </c>
      <c r="D53" s="65" t="s">
        <v>94</v>
      </c>
      <c r="E53" s="115">
        <v>13500000</v>
      </c>
      <c r="F53" s="115">
        <v>13500000</v>
      </c>
    </row>
    <row r="54" spans="1:6" ht="15">
      <c r="A54" s="19" t="s">
        <v>95</v>
      </c>
      <c r="B54" s="115">
        <v>124757048.16</v>
      </c>
      <c r="C54" s="115">
        <v>91869027.36</v>
      </c>
      <c r="D54" s="65" t="s">
        <v>96</v>
      </c>
      <c r="E54" s="75">
        <v>0</v>
      </c>
      <c r="F54" s="115">
        <v>0</v>
      </c>
    </row>
    <row r="55" spans="1:6" ht="15">
      <c r="A55" s="19" t="s">
        <v>97</v>
      </c>
      <c r="B55" s="115">
        <v>-1341637647.72</v>
      </c>
      <c r="C55" s="115">
        <v>-1295575305.88</v>
      </c>
      <c r="D55" s="69" t="s">
        <v>98</v>
      </c>
      <c r="E55" s="75">
        <v>0</v>
      </c>
      <c r="F55" s="115">
        <v>0</v>
      </c>
    </row>
    <row r="56" spans="1:6" ht="15">
      <c r="A56" s="19" t="s">
        <v>99</v>
      </c>
      <c r="B56" s="75">
        <v>0</v>
      </c>
      <c r="C56" s="115">
        <v>0</v>
      </c>
      <c r="D56" s="29"/>
      <c r="E56" s="76"/>
      <c r="F56" s="76"/>
    </row>
    <row r="57" spans="1:6" ht="15">
      <c r="A57" s="19" t="s">
        <v>100</v>
      </c>
      <c r="B57" s="75">
        <v>0</v>
      </c>
      <c r="C57" s="115">
        <v>0</v>
      </c>
      <c r="D57" s="64" t="s">
        <v>101</v>
      </c>
      <c r="E57" s="77">
        <f>SUM(E50:E55)</f>
        <v>2131553143.1</v>
      </c>
      <c r="F57" s="77">
        <f>SUM(F50:F55)</f>
        <v>2163403579.08</v>
      </c>
    </row>
    <row r="58" spans="1:6" ht="15">
      <c r="A58" s="19" t="s">
        <v>102</v>
      </c>
      <c r="B58" s="75">
        <v>0</v>
      </c>
      <c r="C58" s="115">
        <v>0</v>
      </c>
      <c r="D58" s="29"/>
      <c r="E58" s="76"/>
      <c r="F58" s="76"/>
    </row>
    <row r="59" spans="1:6" ht="15">
      <c r="A59" s="29"/>
      <c r="B59" s="76"/>
      <c r="C59" s="76"/>
      <c r="D59" s="64" t="s">
        <v>103</v>
      </c>
      <c r="E59" s="77">
        <f>E47+E57</f>
        <v>2471905345.02</v>
      </c>
      <c r="F59" s="77">
        <f>F47+F57</f>
        <v>2438783078.34</v>
      </c>
    </row>
    <row r="60" spans="1:6" ht="15">
      <c r="A60" s="20" t="s">
        <v>104</v>
      </c>
      <c r="B60" s="77">
        <f>SUM(B50:B58)</f>
        <v>15418709581.19</v>
      </c>
      <c r="C60" s="77">
        <f>SUM(C50:C58)</f>
        <v>15139744429.36</v>
      </c>
      <c r="D60" s="29"/>
      <c r="E60" s="76"/>
      <c r="F60" s="76"/>
    </row>
    <row r="61" spans="1:6" ht="15">
      <c r="A61" s="29"/>
      <c r="B61" s="76"/>
      <c r="C61" s="76"/>
      <c r="D61" s="70" t="s">
        <v>105</v>
      </c>
      <c r="E61" s="76"/>
      <c r="F61" s="76"/>
    </row>
    <row r="62" spans="1:6" ht="15">
      <c r="A62" s="20" t="s">
        <v>106</v>
      </c>
      <c r="B62" s="77">
        <f>SUM(B47+B60)</f>
        <v>20975594446.5</v>
      </c>
      <c r="C62" s="77">
        <f>SUM(C47+C60)</f>
        <v>17727828905.62</v>
      </c>
      <c r="D62" s="29"/>
      <c r="E62" s="76"/>
      <c r="F62" s="76"/>
    </row>
    <row r="63" spans="1:6" ht="15">
      <c r="A63" s="29"/>
      <c r="B63" s="74"/>
      <c r="C63" s="74"/>
      <c r="D63" s="64" t="s">
        <v>107</v>
      </c>
      <c r="E63" s="77">
        <f>SUM(E64:E66)</f>
        <v>3405825074.2200003</v>
      </c>
      <c r="F63" s="77">
        <f>SUM(F64:F66)</f>
        <v>3399949414.4700003</v>
      </c>
    </row>
    <row r="64" spans="1:6" ht="15">
      <c r="A64" s="29"/>
      <c r="B64" s="74"/>
      <c r="C64" s="74"/>
      <c r="D64" s="71" t="s">
        <v>108</v>
      </c>
      <c r="E64" s="115">
        <v>2800261260.75</v>
      </c>
      <c r="F64" s="115">
        <v>2806813862.69</v>
      </c>
    </row>
    <row r="65" spans="1:6" ht="15">
      <c r="A65" s="29"/>
      <c r="B65" s="74"/>
      <c r="C65" s="74"/>
      <c r="D65" s="72" t="s">
        <v>109</v>
      </c>
      <c r="E65" s="115">
        <v>605563813.47</v>
      </c>
      <c r="F65" s="115">
        <v>593135551.78</v>
      </c>
    </row>
    <row r="66" spans="1:6" ht="15">
      <c r="A66" s="29"/>
      <c r="B66" s="74"/>
      <c r="C66" s="74"/>
      <c r="D66" s="71" t="s">
        <v>110</v>
      </c>
      <c r="E66" s="75">
        <v>0</v>
      </c>
      <c r="F66" s="115">
        <v>0</v>
      </c>
    </row>
    <row r="67" spans="1:6" ht="15">
      <c r="A67" s="29"/>
      <c r="B67" s="74"/>
      <c r="C67" s="74"/>
      <c r="D67" s="29"/>
      <c r="E67" s="76"/>
      <c r="F67" s="76"/>
    </row>
    <row r="68" spans="1:6" ht="15">
      <c r="A68" s="29"/>
      <c r="B68" s="74"/>
      <c r="C68" s="74"/>
      <c r="D68" s="64" t="s">
        <v>111</v>
      </c>
      <c r="E68" s="77">
        <f>SUM(E69:E73)</f>
        <v>15097864027.26</v>
      </c>
      <c r="F68" s="77">
        <f>SUM(F69:F73)</f>
        <v>11889096412.81</v>
      </c>
    </row>
    <row r="69" spans="1:6" ht="15">
      <c r="A69" s="51"/>
      <c r="B69" s="74"/>
      <c r="C69" s="74"/>
      <c r="D69" s="71" t="s">
        <v>112</v>
      </c>
      <c r="E69" s="115">
        <v>3137227276.92</v>
      </c>
      <c r="F69" s="115">
        <v>2126075131.95</v>
      </c>
    </row>
    <row r="70" spans="1:6" ht="15">
      <c r="A70" s="51"/>
      <c r="B70" s="74"/>
      <c r="C70" s="74"/>
      <c r="D70" s="71" t="s">
        <v>113</v>
      </c>
      <c r="E70" s="115">
        <v>11033769757.99</v>
      </c>
      <c r="F70" s="115">
        <v>8876695436.81</v>
      </c>
    </row>
    <row r="71" spans="1:6" ht="15">
      <c r="A71" s="51"/>
      <c r="B71" s="74"/>
      <c r="C71" s="74"/>
      <c r="D71" s="71" t="s">
        <v>114</v>
      </c>
      <c r="E71" s="115">
        <v>926866992.35</v>
      </c>
      <c r="F71" s="115">
        <v>886325844.05</v>
      </c>
    </row>
    <row r="72" spans="1:6" ht="15">
      <c r="A72" s="51"/>
      <c r="B72" s="74"/>
      <c r="C72" s="74"/>
      <c r="D72" s="71" t="s">
        <v>115</v>
      </c>
      <c r="E72" s="75">
        <v>0</v>
      </c>
      <c r="F72" s="115">
        <v>0</v>
      </c>
    </row>
    <row r="73" spans="1:6" ht="15">
      <c r="A73" s="51"/>
      <c r="B73" s="74"/>
      <c r="C73" s="74"/>
      <c r="D73" s="71" t="s">
        <v>116</v>
      </c>
      <c r="E73" s="75">
        <v>0</v>
      </c>
      <c r="F73" s="115">
        <v>0</v>
      </c>
    </row>
    <row r="74" spans="1:6" ht="15">
      <c r="A74" s="51"/>
      <c r="B74" s="74"/>
      <c r="C74" s="74"/>
      <c r="D74" s="29"/>
      <c r="E74" s="76"/>
      <c r="F74" s="76"/>
    </row>
    <row r="75" spans="1:6" ht="15">
      <c r="A75" s="51"/>
      <c r="B75" s="74"/>
      <c r="C75" s="74"/>
      <c r="D75" s="64" t="s">
        <v>117</v>
      </c>
      <c r="E75" s="77">
        <f>E76+E77</f>
        <v>0</v>
      </c>
      <c r="F75" s="77">
        <f>F76+F77</f>
        <v>0</v>
      </c>
    </row>
    <row r="76" spans="1:6" ht="15">
      <c r="A76" s="51"/>
      <c r="B76" s="74"/>
      <c r="C76" s="74"/>
      <c r="D76" s="65" t="s">
        <v>118</v>
      </c>
      <c r="E76" s="75">
        <v>0</v>
      </c>
      <c r="F76" s="115">
        <v>0</v>
      </c>
    </row>
    <row r="77" spans="1:6" ht="15">
      <c r="A77" s="51"/>
      <c r="B77" s="74"/>
      <c r="C77" s="74"/>
      <c r="D77" s="65" t="s">
        <v>119</v>
      </c>
      <c r="E77" s="75">
        <v>0</v>
      </c>
      <c r="F77" s="115">
        <v>0</v>
      </c>
    </row>
    <row r="78" spans="1:6" ht="15">
      <c r="A78" s="51"/>
      <c r="B78" s="74"/>
      <c r="C78" s="74"/>
      <c r="D78" s="29"/>
      <c r="E78" s="76"/>
      <c r="F78" s="76"/>
    </row>
    <row r="79" spans="1:6" ht="15">
      <c r="A79" s="51"/>
      <c r="B79" s="74"/>
      <c r="C79" s="74"/>
      <c r="D79" s="64" t="s">
        <v>120</v>
      </c>
      <c r="E79" s="77">
        <f>E63+E68+E75</f>
        <v>18503689101.48</v>
      </c>
      <c r="F79" s="77">
        <f>F63+F68+F75</f>
        <v>15289045827.279999</v>
      </c>
    </row>
    <row r="80" spans="1:6" ht="15">
      <c r="A80" s="51"/>
      <c r="B80" s="74"/>
      <c r="C80" s="74"/>
      <c r="D80" s="29"/>
      <c r="E80" s="76"/>
      <c r="F80" s="76"/>
    </row>
    <row r="81" spans="1:6" ht="15">
      <c r="A81" s="51"/>
      <c r="B81" s="74"/>
      <c r="C81" s="74"/>
      <c r="D81" s="64" t="s">
        <v>121</v>
      </c>
      <c r="E81" s="77">
        <f>E59+E79</f>
        <v>20975594446.5</v>
      </c>
      <c r="F81" s="77">
        <f>F59+F79</f>
        <v>17727828905.62</v>
      </c>
    </row>
    <row r="82" spans="1:6" ht="15">
      <c r="A82" s="35"/>
      <c r="B82" s="78"/>
      <c r="C82" s="78"/>
      <c r="D82" s="30"/>
      <c r="E82" s="78"/>
      <c r="F82" s="78"/>
    </row>
    <row r="83" spans="5:6" ht="15">
      <c r="E83" s="116"/>
      <c r="F83" s="116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47:F47 E9:F45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:C25 B17:C17 B9:C9 E9 E31 E27 E23 E19 E38 E42 E47 E57 E59 E63 E68 E75 E79 E81 C38:C41 C60:C62 F9 F7:F8 F48:F51 C46:C47 F19:F23 F25:F31 F34:F47 F54:F63 F66:F68 F72:F81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90" zoomScaleNormal="90" zoomScalePageLayoutView="0" workbookViewId="0" topLeftCell="A4">
      <selection activeCell="D25" sqref="D25"/>
    </sheetView>
  </sheetViews>
  <sheetFormatPr defaultColWidth="1.1484375" defaultRowHeight="15" zeroHeight="1"/>
  <cols>
    <col min="1" max="1" width="59.140625" style="0" customWidth="1"/>
    <col min="2" max="2" width="18.8515625" style="79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60" t="s">
        <v>122</v>
      </c>
      <c r="B1" s="160"/>
      <c r="C1" s="160"/>
      <c r="D1" s="160"/>
      <c r="E1" s="160"/>
      <c r="F1" s="160"/>
      <c r="G1" s="160"/>
      <c r="H1" s="160"/>
    </row>
    <row r="2" spans="1:8" ht="15">
      <c r="A2" s="146" t="s">
        <v>289</v>
      </c>
      <c r="B2" s="147"/>
      <c r="C2" s="147"/>
      <c r="D2" s="147"/>
      <c r="E2" s="147"/>
      <c r="F2" s="147"/>
      <c r="G2" s="147"/>
      <c r="H2" s="148"/>
    </row>
    <row r="3" spans="1:8" ht="15">
      <c r="A3" s="149" t="s">
        <v>123</v>
      </c>
      <c r="B3" s="150"/>
      <c r="C3" s="150"/>
      <c r="D3" s="150"/>
      <c r="E3" s="150"/>
      <c r="F3" s="150"/>
      <c r="G3" s="150"/>
      <c r="H3" s="151"/>
    </row>
    <row r="4" spans="1:8" ht="15">
      <c r="A4" s="152" t="s">
        <v>481</v>
      </c>
      <c r="B4" s="153"/>
      <c r="C4" s="153"/>
      <c r="D4" s="153"/>
      <c r="E4" s="153"/>
      <c r="F4" s="153"/>
      <c r="G4" s="153"/>
      <c r="H4" s="154"/>
    </row>
    <row r="5" spans="1:8" ht="15">
      <c r="A5" s="155" t="s">
        <v>2</v>
      </c>
      <c r="B5" s="156"/>
      <c r="C5" s="156"/>
      <c r="D5" s="156"/>
      <c r="E5" s="156"/>
      <c r="F5" s="156"/>
      <c r="G5" s="156"/>
      <c r="H5" s="157"/>
    </row>
    <row r="6" spans="1:8" ht="62.25" customHeight="1">
      <c r="A6" s="5" t="s">
        <v>124</v>
      </c>
      <c r="B6" s="81" t="s">
        <v>474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1"/>
      <c r="B7" s="82"/>
      <c r="C7" s="51"/>
      <c r="D7" s="51"/>
      <c r="E7" s="51"/>
      <c r="F7" s="51"/>
      <c r="G7" s="51"/>
      <c r="H7" s="51"/>
    </row>
    <row r="8" spans="1:8" ht="15">
      <c r="A8" s="56" t="s">
        <v>131</v>
      </c>
      <c r="B8" s="77">
        <f>B9+B13</f>
        <v>2207137578.54</v>
      </c>
      <c r="C8" s="77">
        <f aca="true" t="shared" si="0" ref="C8:H8">C9+C13</f>
        <v>0</v>
      </c>
      <c r="D8" s="77">
        <f t="shared" si="0"/>
        <v>27590482.96</v>
      </c>
      <c r="E8" s="77">
        <f t="shared" si="0"/>
        <v>0</v>
      </c>
      <c r="F8" s="77">
        <f t="shared" si="0"/>
        <v>2179547095.58</v>
      </c>
      <c r="G8" s="77">
        <f>G9+G13</f>
        <v>130899484.81000002</v>
      </c>
      <c r="H8" s="77">
        <f t="shared" si="0"/>
        <v>0</v>
      </c>
    </row>
    <row r="9" spans="1:8" ht="15">
      <c r="A9" s="57" t="s">
        <v>132</v>
      </c>
      <c r="B9" s="75">
        <f>SUM(B10:B12)</f>
        <v>0</v>
      </c>
      <c r="C9" s="75">
        <f aca="true" t="shared" si="1" ref="C9:H9">SUM(C10:C12)</f>
        <v>0</v>
      </c>
      <c r="D9" s="75">
        <f t="shared" si="1"/>
        <v>0</v>
      </c>
      <c r="E9" s="75">
        <f t="shared" si="1"/>
        <v>0</v>
      </c>
      <c r="F9" s="75">
        <f>SUM(F10:F12)</f>
        <v>0</v>
      </c>
      <c r="G9" s="75">
        <f t="shared" si="1"/>
        <v>0</v>
      </c>
      <c r="H9" s="75">
        <f t="shared" si="1"/>
        <v>0</v>
      </c>
    </row>
    <row r="10" spans="1:8" ht="15">
      <c r="A10" s="58" t="s">
        <v>133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</row>
    <row r="11" spans="1:8" ht="15">
      <c r="A11" s="58" t="s">
        <v>134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</row>
    <row r="12" spans="1:8" ht="15">
      <c r="A12" s="58" t="s">
        <v>135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</row>
    <row r="13" spans="1:256" ht="15">
      <c r="A13" s="57" t="s">
        <v>136</v>
      </c>
      <c r="B13" s="75">
        <f aca="true" t="shared" si="2" ref="B13:AG13">SUM(B14+B20+B21)</f>
        <v>2207137578.54</v>
      </c>
      <c r="C13" s="75">
        <f t="shared" si="2"/>
        <v>0</v>
      </c>
      <c r="D13" s="75">
        <f t="shared" si="2"/>
        <v>27590482.96</v>
      </c>
      <c r="E13" s="75">
        <f t="shared" si="2"/>
        <v>0</v>
      </c>
      <c r="F13" s="75">
        <f t="shared" si="2"/>
        <v>2179547095.58</v>
      </c>
      <c r="G13" s="75">
        <f t="shared" si="2"/>
        <v>130899484.81000002</v>
      </c>
      <c r="H13" s="75">
        <f t="shared" si="2"/>
        <v>0</v>
      </c>
      <c r="I13" s="75" t="e">
        <f t="shared" si="2"/>
        <v>#REF!</v>
      </c>
      <c r="J13" s="75" t="e">
        <f t="shared" si="2"/>
        <v>#REF!</v>
      </c>
      <c r="K13" s="75" t="e">
        <f t="shared" si="2"/>
        <v>#REF!</v>
      </c>
      <c r="L13" s="75" t="e">
        <f t="shared" si="2"/>
        <v>#REF!</v>
      </c>
      <c r="M13" s="75" t="e">
        <f t="shared" si="2"/>
        <v>#REF!</v>
      </c>
      <c r="N13" s="75" t="e">
        <f t="shared" si="2"/>
        <v>#REF!</v>
      </c>
      <c r="O13" s="75" t="e">
        <f t="shared" si="2"/>
        <v>#REF!</v>
      </c>
      <c r="P13" s="75" t="e">
        <f t="shared" si="2"/>
        <v>#REF!</v>
      </c>
      <c r="Q13" s="75" t="e">
        <f t="shared" si="2"/>
        <v>#REF!</v>
      </c>
      <c r="R13" s="75" t="e">
        <f t="shared" si="2"/>
        <v>#REF!</v>
      </c>
      <c r="S13" s="75" t="e">
        <f t="shared" si="2"/>
        <v>#REF!</v>
      </c>
      <c r="T13" s="75" t="e">
        <f t="shared" si="2"/>
        <v>#REF!</v>
      </c>
      <c r="U13" s="75" t="e">
        <f t="shared" si="2"/>
        <v>#REF!</v>
      </c>
      <c r="V13" s="75" t="e">
        <f t="shared" si="2"/>
        <v>#REF!</v>
      </c>
      <c r="W13" s="75" t="e">
        <f t="shared" si="2"/>
        <v>#REF!</v>
      </c>
      <c r="X13" s="75" t="e">
        <f t="shared" si="2"/>
        <v>#REF!</v>
      </c>
      <c r="Y13" s="75" t="e">
        <f t="shared" si="2"/>
        <v>#REF!</v>
      </c>
      <c r="Z13" s="75" t="e">
        <f t="shared" si="2"/>
        <v>#REF!</v>
      </c>
      <c r="AA13" s="75" t="e">
        <f t="shared" si="2"/>
        <v>#REF!</v>
      </c>
      <c r="AB13" s="75" t="e">
        <f t="shared" si="2"/>
        <v>#REF!</v>
      </c>
      <c r="AC13" s="75" t="e">
        <f t="shared" si="2"/>
        <v>#REF!</v>
      </c>
      <c r="AD13" s="75" t="e">
        <f t="shared" si="2"/>
        <v>#REF!</v>
      </c>
      <c r="AE13" s="75" t="e">
        <f t="shared" si="2"/>
        <v>#REF!</v>
      </c>
      <c r="AF13" s="75" t="e">
        <f t="shared" si="2"/>
        <v>#REF!</v>
      </c>
      <c r="AG13" s="75" t="e">
        <f t="shared" si="2"/>
        <v>#REF!</v>
      </c>
      <c r="AH13" s="75" t="e">
        <f aca="true" t="shared" si="3" ref="AH13:BM13">SUM(AH14+AH20+AH21)</f>
        <v>#REF!</v>
      </c>
      <c r="AI13" s="75" t="e">
        <f t="shared" si="3"/>
        <v>#REF!</v>
      </c>
      <c r="AJ13" s="75" t="e">
        <f t="shared" si="3"/>
        <v>#REF!</v>
      </c>
      <c r="AK13" s="75" t="e">
        <f t="shared" si="3"/>
        <v>#REF!</v>
      </c>
      <c r="AL13" s="75" t="e">
        <f t="shared" si="3"/>
        <v>#REF!</v>
      </c>
      <c r="AM13" s="75" t="e">
        <f t="shared" si="3"/>
        <v>#REF!</v>
      </c>
      <c r="AN13" s="75" t="e">
        <f t="shared" si="3"/>
        <v>#REF!</v>
      </c>
      <c r="AO13" s="75" t="e">
        <f t="shared" si="3"/>
        <v>#REF!</v>
      </c>
      <c r="AP13" s="75" t="e">
        <f t="shared" si="3"/>
        <v>#REF!</v>
      </c>
      <c r="AQ13" s="75" t="e">
        <f t="shared" si="3"/>
        <v>#REF!</v>
      </c>
      <c r="AR13" s="75" t="e">
        <f t="shared" si="3"/>
        <v>#REF!</v>
      </c>
      <c r="AS13" s="75" t="e">
        <f t="shared" si="3"/>
        <v>#REF!</v>
      </c>
      <c r="AT13" s="75" t="e">
        <f t="shared" si="3"/>
        <v>#REF!</v>
      </c>
      <c r="AU13" s="75" t="e">
        <f t="shared" si="3"/>
        <v>#REF!</v>
      </c>
      <c r="AV13" s="75" t="e">
        <f t="shared" si="3"/>
        <v>#REF!</v>
      </c>
      <c r="AW13" s="75" t="e">
        <f t="shared" si="3"/>
        <v>#REF!</v>
      </c>
      <c r="AX13" s="75" t="e">
        <f t="shared" si="3"/>
        <v>#REF!</v>
      </c>
      <c r="AY13" s="75" t="e">
        <f t="shared" si="3"/>
        <v>#REF!</v>
      </c>
      <c r="AZ13" s="75" t="e">
        <f t="shared" si="3"/>
        <v>#REF!</v>
      </c>
      <c r="BA13" s="75" t="e">
        <f t="shared" si="3"/>
        <v>#REF!</v>
      </c>
      <c r="BB13" s="75" t="e">
        <f t="shared" si="3"/>
        <v>#REF!</v>
      </c>
      <c r="BC13" s="75" t="e">
        <f t="shared" si="3"/>
        <v>#REF!</v>
      </c>
      <c r="BD13" s="75" t="e">
        <f t="shared" si="3"/>
        <v>#REF!</v>
      </c>
      <c r="BE13" s="75" t="e">
        <f t="shared" si="3"/>
        <v>#REF!</v>
      </c>
      <c r="BF13" s="75" t="e">
        <f t="shared" si="3"/>
        <v>#REF!</v>
      </c>
      <c r="BG13" s="75" t="e">
        <f t="shared" si="3"/>
        <v>#REF!</v>
      </c>
      <c r="BH13" s="75" t="e">
        <f t="shared" si="3"/>
        <v>#REF!</v>
      </c>
      <c r="BI13" s="75" t="e">
        <f t="shared" si="3"/>
        <v>#REF!</v>
      </c>
      <c r="BJ13" s="75" t="e">
        <f t="shared" si="3"/>
        <v>#REF!</v>
      </c>
      <c r="BK13" s="75" t="e">
        <f t="shared" si="3"/>
        <v>#REF!</v>
      </c>
      <c r="BL13" s="75" t="e">
        <f t="shared" si="3"/>
        <v>#REF!</v>
      </c>
      <c r="BM13" s="75" t="e">
        <f t="shared" si="3"/>
        <v>#REF!</v>
      </c>
      <c r="BN13" s="75" t="e">
        <f aca="true" t="shared" si="4" ref="BN13:DY13">SUM(BN14+BN20+BN21)</f>
        <v>#REF!</v>
      </c>
      <c r="BO13" s="75" t="e">
        <f t="shared" si="4"/>
        <v>#REF!</v>
      </c>
      <c r="BP13" s="75" t="e">
        <f t="shared" si="4"/>
        <v>#REF!</v>
      </c>
      <c r="BQ13" s="75" t="e">
        <f t="shared" si="4"/>
        <v>#REF!</v>
      </c>
      <c r="BR13" s="75" t="e">
        <f t="shared" si="4"/>
        <v>#REF!</v>
      </c>
      <c r="BS13" s="75" t="e">
        <f t="shared" si="4"/>
        <v>#REF!</v>
      </c>
      <c r="BT13" s="75" t="e">
        <f t="shared" si="4"/>
        <v>#REF!</v>
      </c>
      <c r="BU13" s="75" t="e">
        <f t="shared" si="4"/>
        <v>#REF!</v>
      </c>
      <c r="BV13" s="75" t="e">
        <f t="shared" si="4"/>
        <v>#REF!</v>
      </c>
      <c r="BW13" s="75" t="e">
        <f t="shared" si="4"/>
        <v>#REF!</v>
      </c>
      <c r="BX13" s="75" t="e">
        <f t="shared" si="4"/>
        <v>#REF!</v>
      </c>
      <c r="BY13" s="75" t="e">
        <f t="shared" si="4"/>
        <v>#REF!</v>
      </c>
      <c r="BZ13" s="75" t="e">
        <f t="shared" si="4"/>
        <v>#REF!</v>
      </c>
      <c r="CA13" s="75" t="e">
        <f t="shared" si="4"/>
        <v>#REF!</v>
      </c>
      <c r="CB13" s="75" t="e">
        <f t="shared" si="4"/>
        <v>#REF!</v>
      </c>
      <c r="CC13" s="75" t="e">
        <f t="shared" si="4"/>
        <v>#REF!</v>
      </c>
      <c r="CD13" s="75" t="e">
        <f t="shared" si="4"/>
        <v>#REF!</v>
      </c>
      <c r="CE13" s="75" t="e">
        <f t="shared" si="4"/>
        <v>#REF!</v>
      </c>
      <c r="CF13" s="75" t="e">
        <f t="shared" si="4"/>
        <v>#REF!</v>
      </c>
      <c r="CG13" s="75" t="e">
        <f t="shared" si="4"/>
        <v>#REF!</v>
      </c>
      <c r="CH13" s="75" t="e">
        <f t="shared" si="4"/>
        <v>#REF!</v>
      </c>
      <c r="CI13" s="75" t="e">
        <f t="shared" si="4"/>
        <v>#REF!</v>
      </c>
      <c r="CJ13" s="75" t="e">
        <f t="shared" si="4"/>
        <v>#REF!</v>
      </c>
      <c r="CK13" s="75" t="e">
        <f t="shared" si="4"/>
        <v>#REF!</v>
      </c>
      <c r="CL13" s="75" t="e">
        <f t="shared" si="4"/>
        <v>#REF!</v>
      </c>
      <c r="CM13" s="75" t="e">
        <f t="shared" si="4"/>
        <v>#REF!</v>
      </c>
      <c r="CN13" s="75" t="e">
        <f t="shared" si="4"/>
        <v>#REF!</v>
      </c>
      <c r="CO13" s="75" t="e">
        <f t="shared" si="4"/>
        <v>#REF!</v>
      </c>
      <c r="CP13" s="75" t="e">
        <f t="shared" si="4"/>
        <v>#REF!</v>
      </c>
      <c r="CQ13" s="75" t="e">
        <f t="shared" si="4"/>
        <v>#REF!</v>
      </c>
      <c r="CR13" s="75" t="e">
        <f t="shared" si="4"/>
        <v>#REF!</v>
      </c>
      <c r="CS13" s="75" t="e">
        <f t="shared" si="4"/>
        <v>#REF!</v>
      </c>
      <c r="CT13" s="75" t="e">
        <f t="shared" si="4"/>
        <v>#REF!</v>
      </c>
      <c r="CU13" s="75" t="e">
        <f t="shared" si="4"/>
        <v>#REF!</v>
      </c>
      <c r="CV13" s="75" t="e">
        <f t="shared" si="4"/>
        <v>#REF!</v>
      </c>
      <c r="CW13" s="75" t="e">
        <f t="shared" si="4"/>
        <v>#REF!</v>
      </c>
      <c r="CX13" s="75" t="e">
        <f t="shared" si="4"/>
        <v>#REF!</v>
      </c>
      <c r="CY13" s="75" t="e">
        <f t="shared" si="4"/>
        <v>#REF!</v>
      </c>
      <c r="CZ13" s="75" t="e">
        <f t="shared" si="4"/>
        <v>#REF!</v>
      </c>
      <c r="DA13" s="75" t="e">
        <f t="shared" si="4"/>
        <v>#REF!</v>
      </c>
      <c r="DB13" s="75" t="e">
        <f t="shared" si="4"/>
        <v>#REF!</v>
      </c>
      <c r="DC13" s="75" t="e">
        <f t="shared" si="4"/>
        <v>#REF!</v>
      </c>
      <c r="DD13" s="75" t="e">
        <f t="shared" si="4"/>
        <v>#REF!</v>
      </c>
      <c r="DE13" s="75" t="e">
        <f t="shared" si="4"/>
        <v>#REF!</v>
      </c>
      <c r="DF13" s="75" t="e">
        <f t="shared" si="4"/>
        <v>#REF!</v>
      </c>
      <c r="DG13" s="75" t="e">
        <f t="shared" si="4"/>
        <v>#REF!</v>
      </c>
      <c r="DH13" s="75" t="e">
        <f t="shared" si="4"/>
        <v>#REF!</v>
      </c>
      <c r="DI13" s="75" t="e">
        <f t="shared" si="4"/>
        <v>#REF!</v>
      </c>
      <c r="DJ13" s="75" t="e">
        <f t="shared" si="4"/>
        <v>#REF!</v>
      </c>
      <c r="DK13" s="75" t="e">
        <f t="shared" si="4"/>
        <v>#REF!</v>
      </c>
      <c r="DL13" s="75" t="e">
        <f t="shared" si="4"/>
        <v>#REF!</v>
      </c>
      <c r="DM13" s="75" t="e">
        <f t="shared" si="4"/>
        <v>#REF!</v>
      </c>
      <c r="DN13" s="75" t="e">
        <f t="shared" si="4"/>
        <v>#REF!</v>
      </c>
      <c r="DO13" s="75" t="e">
        <f t="shared" si="4"/>
        <v>#REF!</v>
      </c>
      <c r="DP13" s="75" t="e">
        <f t="shared" si="4"/>
        <v>#REF!</v>
      </c>
      <c r="DQ13" s="75" t="e">
        <f t="shared" si="4"/>
        <v>#REF!</v>
      </c>
      <c r="DR13" s="75" t="e">
        <f t="shared" si="4"/>
        <v>#REF!</v>
      </c>
      <c r="DS13" s="75" t="e">
        <f t="shared" si="4"/>
        <v>#REF!</v>
      </c>
      <c r="DT13" s="75" t="e">
        <f t="shared" si="4"/>
        <v>#REF!</v>
      </c>
      <c r="DU13" s="75" t="e">
        <f t="shared" si="4"/>
        <v>#REF!</v>
      </c>
      <c r="DV13" s="75" t="e">
        <f t="shared" si="4"/>
        <v>#REF!</v>
      </c>
      <c r="DW13" s="75" t="e">
        <f t="shared" si="4"/>
        <v>#REF!</v>
      </c>
      <c r="DX13" s="75" t="e">
        <f t="shared" si="4"/>
        <v>#REF!</v>
      </c>
      <c r="DY13" s="75" t="e">
        <f t="shared" si="4"/>
        <v>#REF!</v>
      </c>
      <c r="DZ13" s="75" t="e">
        <f aca="true" t="shared" si="5" ref="DZ13:GK13">SUM(DZ14+DZ20+DZ21)</f>
        <v>#REF!</v>
      </c>
      <c r="EA13" s="75" t="e">
        <f t="shared" si="5"/>
        <v>#REF!</v>
      </c>
      <c r="EB13" s="75" t="e">
        <f t="shared" si="5"/>
        <v>#REF!</v>
      </c>
      <c r="EC13" s="75" t="e">
        <f t="shared" si="5"/>
        <v>#REF!</v>
      </c>
      <c r="ED13" s="75" t="e">
        <f t="shared" si="5"/>
        <v>#REF!</v>
      </c>
      <c r="EE13" s="75" t="e">
        <f t="shared" si="5"/>
        <v>#REF!</v>
      </c>
      <c r="EF13" s="75" t="e">
        <f t="shared" si="5"/>
        <v>#REF!</v>
      </c>
      <c r="EG13" s="75" t="e">
        <f t="shared" si="5"/>
        <v>#REF!</v>
      </c>
      <c r="EH13" s="75" t="e">
        <f t="shared" si="5"/>
        <v>#REF!</v>
      </c>
      <c r="EI13" s="75" t="e">
        <f t="shared" si="5"/>
        <v>#REF!</v>
      </c>
      <c r="EJ13" s="75" t="e">
        <f t="shared" si="5"/>
        <v>#REF!</v>
      </c>
      <c r="EK13" s="75" t="e">
        <f t="shared" si="5"/>
        <v>#REF!</v>
      </c>
      <c r="EL13" s="75" t="e">
        <f t="shared" si="5"/>
        <v>#REF!</v>
      </c>
      <c r="EM13" s="75" t="e">
        <f t="shared" si="5"/>
        <v>#REF!</v>
      </c>
      <c r="EN13" s="75" t="e">
        <f t="shared" si="5"/>
        <v>#REF!</v>
      </c>
      <c r="EO13" s="75" t="e">
        <f t="shared" si="5"/>
        <v>#REF!</v>
      </c>
      <c r="EP13" s="75" t="e">
        <f t="shared" si="5"/>
        <v>#REF!</v>
      </c>
      <c r="EQ13" s="75" t="e">
        <f t="shared" si="5"/>
        <v>#REF!</v>
      </c>
      <c r="ER13" s="75" t="e">
        <f t="shared" si="5"/>
        <v>#REF!</v>
      </c>
      <c r="ES13" s="75" t="e">
        <f t="shared" si="5"/>
        <v>#REF!</v>
      </c>
      <c r="ET13" s="75" t="e">
        <f t="shared" si="5"/>
        <v>#REF!</v>
      </c>
      <c r="EU13" s="75" t="e">
        <f t="shared" si="5"/>
        <v>#REF!</v>
      </c>
      <c r="EV13" s="75" t="e">
        <f t="shared" si="5"/>
        <v>#REF!</v>
      </c>
      <c r="EW13" s="75" t="e">
        <f t="shared" si="5"/>
        <v>#REF!</v>
      </c>
      <c r="EX13" s="75" t="e">
        <f t="shared" si="5"/>
        <v>#REF!</v>
      </c>
      <c r="EY13" s="75" t="e">
        <f t="shared" si="5"/>
        <v>#REF!</v>
      </c>
      <c r="EZ13" s="75" t="e">
        <f t="shared" si="5"/>
        <v>#REF!</v>
      </c>
      <c r="FA13" s="75" t="e">
        <f t="shared" si="5"/>
        <v>#REF!</v>
      </c>
      <c r="FB13" s="75" t="e">
        <f t="shared" si="5"/>
        <v>#REF!</v>
      </c>
      <c r="FC13" s="75" t="e">
        <f t="shared" si="5"/>
        <v>#REF!</v>
      </c>
      <c r="FD13" s="75" t="e">
        <f t="shared" si="5"/>
        <v>#REF!</v>
      </c>
      <c r="FE13" s="75" t="e">
        <f t="shared" si="5"/>
        <v>#REF!</v>
      </c>
      <c r="FF13" s="75" t="e">
        <f t="shared" si="5"/>
        <v>#REF!</v>
      </c>
      <c r="FG13" s="75" t="e">
        <f t="shared" si="5"/>
        <v>#REF!</v>
      </c>
      <c r="FH13" s="75" t="e">
        <f t="shared" si="5"/>
        <v>#REF!</v>
      </c>
      <c r="FI13" s="75" t="e">
        <f t="shared" si="5"/>
        <v>#REF!</v>
      </c>
      <c r="FJ13" s="75" t="e">
        <f t="shared" si="5"/>
        <v>#REF!</v>
      </c>
      <c r="FK13" s="75" t="e">
        <f t="shared" si="5"/>
        <v>#REF!</v>
      </c>
      <c r="FL13" s="75" t="e">
        <f t="shared" si="5"/>
        <v>#REF!</v>
      </c>
      <c r="FM13" s="75" t="e">
        <f t="shared" si="5"/>
        <v>#REF!</v>
      </c>
      <c r="FN13" s="75" t="e">
        <f t="shared" si="5"/>
        <v>#REF!</v>
      </c>
      <c r="FO13" s="75" t="e">
        <f t="shared" si="5"/>
        <v>#REF!</v>
      </c>
      <c r="FP13" s="75" t="e">
        <f t="shared" si="5"/>
        <v>#REF!</v>
      </c>
      <c r="FQ13" s="75" t="e">
        <f t="shared" si="5"/>
        <v>#REF!</v>
      </c>
      <c r="FR13" s="75" t="e">
        <f t="shared" si="5"/>
        <v>#REF!</v>
      </c>
      <c r="FS13" s="75" t="e">
        <f t="shared" si="5"/>
        <v>#REF!</v>
      </c>
      <c r="FT13" s="75" t="e">
        <f t="shared" si="5"/>
        <v>#REF!</v>
      </c>
      <c r="FU13" s="75" t="e">
        <f t="shared" si="5"/>
        <v>#REF!</v>
      </c>
      <c r="FV13" s="75" t="e">
        <f t="shared" si="5"/>
        <v>#REF!</v>
      </c>
      <c r="FW13" s="75" t="e">
        <f t="shared" si="5"/>
        <v>#REF!</v>
      </c>
      <c r="FX13" s="75" t="e">
        <f t="shared" si="5"/>
        <v>#REF!</v>
      </c>
      <c r="FY13" s="75" t="e">
        <f t="shared" si="5"/>
        <v>#REF!</v>
      </c>
      <c r="FZ13" s="75" t="e">
        <f t="shared" si="5"/>
        <v>#REF!</v>
      </c>
      <c r="GA13" s="75" t="e">
        <f t="shared" si="5"/>
        <v>#REF!</v>
      </c>
      <c r="GB13" s="75" t="e">
        <f t="shared" si="5"/>
        <v>#REF!</v>
      </c>
      <c r="GC13" s="75" t="e">
        <f t="shared" si="5"/>
        <v>#REF!</v>
      </c>
      <c r="GD13" s="75" t="e">
        <f t="shared" si="5"/>
        <v>#REF!</v>
      </c>
      <c r="GE13" s="75" t="e">
        <f t="shared" si="5"/>
        <v>#REF!</v>
      </c>
      <c r="GF13" s="75" t="e">
        <f t="shared" si="5"/>
        <v>#REF!</v>
      </c>
      <c r="GG13" s="75" t="e">
        <f t="shared" si="5"/>
        <v>#REF!</v>
      </c>
      <c r="GH13" s="75" t="e">
        <f t="shared" si="5"/>
        <v>#REF!</v>
      </c>
      <c r="GI13" s="75" t="e">
        <f t="shared" si="5"/>
        <v>#REF!</v>
      </c>
      <c r="GJ13" s="75" t="e">
        <f t="shared" si="5"/>
        <v>#REF!</v>
      </c>
      <c r="GK13" s="75" t="e">
        <f t="shared" si="5"/>
        <v>#REF!</v>
      </c>
      <c r="GL13" s="75" t="e">
        <f aca="true" t="shared" si="6" ref="GL13:IV13">SUM(GL14+GL20+GL21)</f>
        <v>#REF!</v>
      </c>
      <c r="GM13" s="75" t="e">
        <f t="shared" si="6"/>
        <v>#REF!</v>
      </c>
      <c r="GN13" s="75" t="e">
        <f t="shared" si="6"/>
        <v>#REF!</v>
      </c>
      <c r="GO13" s="75" t="e">
        <f t="shared" si="6"/>
        <v>#REF!</v>
      </c>
      <c r="GP13" s="75" t="e">
        <f t="shared" si="6"/>
        <v>#REF!</v>
      </c>
      <c r="GQ13" s="75" t="e">
        <f t="shared" si="6"/>
        <v>#REF!</v>
      </c>
      <c r="GR13" s="75" t="e">
        <f t="shared" si="6"/>
        <v>#REF!</v>
      </c>
      <c r="GS13" s="75" t="e">
        <f t="shared" si="6"/>
        <v>#REF!</v>
      </c>
      <c r="GT13" s="75" t="e">
        <f t="shared" si="6"/>
        <v>#REF!</v>
      </c>
      <c r="GU13" s="75" t="e">
        <f t="shared" si="6"/>
        <v>#REF!</v>
      </c>
      <c r="GV13" s="75" t="e">
        <f t="shared" si="6"/>
        <v>#REF!</v>
      </c>
      <c r="GW13" s="75" t="e">
        <f t="shared" si="6"/>
        <v>#REF!</v>
      </c>
      <c r="GX13" s="75" t="e">
        <f t="shared" si="6"/>
        <v>#REF!</v>
      </c>
      <c r="GY13" s="75" t="e">
        <f t="shared" si="6"/>
        <v>#REF!</v>
      </c>
      <c r="GZ13" s="75" t="e">
        <f t="shared" si="6"/>
        <v>#REF!</v>
      </c>
      <c r="HA13" s="75" t="e">
        <f t="shared" si="6"/>
        <v>#REF!</v>
      </c>
      <c r="HB13" s="75" t="e">
        <f t="shared" si="6"/>
        <v>#REF!</v>
      </c>
      <c r="HC13" s="75" t="e">
        <f t="shared" si="6"/>
        <v>#REF!</v>
      </c>
      <c r="HD13" s="75" t="e">
        <f t="shared" si="6"/>
        <v>#REF!</v>
      </c>
      <c r="HE13" s="75" t="e">
        <f t="shared" si="6"/>
        <v>#REF!</v>
      </c>
      <c r="HF13" s="75" t="e">
        <f t="shared" si="6"/>
        <v>#REF!</v>
      </c>
      <c r="HG13" s="75" t="e">
        <f t="shared" si="6"/>
        <v>#REF!</v>
      </c>
      <c r="HH13" s="75" t="e">
        <f t="shared" si="6"/>
        <v>#REF!</v>
      </c>
      <c r="HI13" s="75" t="e">
        <f t="shared" si="6"/>
        <v>#REF!</v>
      </c>
      <c r="HJ13" s="75" t="e">
        <f t="shared" si="6"/>
        <v>#REF!</v>
      </c>
      <c r="HK13" s="75" t="e">
        <f t="shared" si="6"/>
        <v>#REF!</v>
      </c>
      <c r="HL13" s="75" t="e">
        <f t="shared" si="6"/>
        <v>#REF!</v>
      </c>
      <c r="HM13" s="75" t="e">
        <f t="shared" si="6"/>
        <v>#REF!</v>
      </c>
      <c r="HN13" s="75" t="e">
        <f t="shared" si="6"/>
        <v>#REF!</v>
      </c>
      <c r="HO13" s="75" t="e">
        <f t="shared" si="6"/>
        <v>#REF!</v>
      </c>
      <c r="HP13" s="75" t="e">
        <f t="shared" si="6"/>
        <v>#REF!</v>
      </c>
      <c r="HQ13" s="75" t="e">
        <f t="shared" si="6"/>
        <v>#REF!</v>
      </c>
      <c r="HR13" s="75" t="e">
        <f t="shared" si="6"/>
        <v>#REF!</v>
      </c>
      <c r="HS13" s="75" t="e">
        <f t="shared" si="6"/>
        <v>#REF!</v>
      </c>
      <c r="HT13" s="75" t="e">
        <f t="shared" si="6"/>
        <v>#REF!</v>
      </c>
      <c r="HU13" s="75" t="e">
        <f t="shared" si="6"/>
        <v>#REF!</v>
      </c>
      <c r="HV13" s="75" t="e">
        <f t="shared" si="6"/>
        <v>#REF!</v>
      </c>
      <c r="HW13" s="75" t="e">
        <f t="shared" si="6"/>
        <v>#REF!</v>
      </c>
      <c r="HX13" s="75" t="e">
        <f t="shared" si="6"/>
        <v>#REF!</v>
      </c>
      <c r="HY13" s="75" t="e">
        <f t="shared" si="6"/>
        <v>#REF!</v>
      </c>
      <c r="HZ13" s="75" t="e">
        <f t="shared" si="6"/>
        <v>#REF!</v>
      </c>
      <c r="IA13" s="75" t="e">
        <f t="shared" si="6"/>
        <v>#REF!</v>
      </c>
      <c r="IB13" s="75" t="e">
        <f t="shared" si="6"/>
        <v>#REF!</v>
      </c>
      <c r="IC13" s="75" t="e">
        <f t="shared" si="6"/>
        <v>#REF!</v>
      </c>
      <c r="ID13" s="75" t="e">
        <f t="shared" si="6"/>
        <v>#REF!</v>
      </c>
      <c r="IE13" s="75" t="e">
        <f t="shared" si="6"/>
        <v>#REF!</v>
      </c>
      <c r="IF13" s="75" t="e">
        <f t="shared" si="6"/>
        <v>#REF!</v>
      </c>
      <c r="IG13" s="75" t="e">
        <f t="shared" si="6"/>
        <v>#REF!</v>
      </c>
      <c r="IH13" s="75" t="e">
        <f t="shared" si="6"/>
        <v>#REF!</v>
      </c>
      <c r="II13" s="75" t="e">
        <f t="shared" si="6"/>
        <v>#REF!</v>
      </c>
      <c r="IJ13" s="75" t="e">
        <f t="shared" si="6"/>
        <v>#REF!</v>
      </c>
      <c r="IK13" s="75" t="e">
        <f t="shared" si="6"/>
        <v>#REF!</v>
      </c>
      <c r="IL13" s="75" t="e">
        <f t="shared" si="6"/>
        <v>#REF!</v>
      </c>
      <c r="IM13" s="75" t="e">
        <f t="shared" si="6"/>
        <v>#REF!</v>
      </c>
      <c r="IN13" s="75" t="e">
        <f t="shared" si="6"/>
        <v>#REF!</v>
      </c>
      <c r="IO13" s="75" t="e">
        <f t="shared" si="6"/>
        <v>#REF!</v>
      </c>
      <c r="IP13" s="75" t="e">
        <f t="shared" si="6"/>
        <v>#REF!</v>
      </c>
      <c r="IQ13" s="75" t="e">
        <f t="shared" si="6"/>
        <v>#REF!</v>
      </c>
      <c r="IR13" s="75" t="e">
        <f t="shared" si="6"/>
        <v>#REF!</v>
      </c>
      <c r="IS13" s="75" t="e">
        <f t="shared" si="6"/>
        <v>#REF!</v>
      </c>
      <c r="IT13" s="75" t="e">
        <f t="shared" si="6"/>
        <v>#REF!</v>
      </c>
      <c r="IU13" s="109" t="e">
        <f t="shared" si="6"/>
        <v>#REF!</v>
      </c>
      <c r="IV13" s="109" t="e">
        <f t="shared" si="6"/>
        <v>#REF!</v>
      </c>
    </row>
    <row r="14" spans="1:256" ht="15">
      <c r="A14" s="58" t="s">
        <v>137</v>
      </c>
      <c r="B14" s="75">
        <f>SUM(B15:B19)</f>
        <v>2207137578.54</v>
      </c>
      <c r="C14" s="75">
        <v>0</v>
      </c>
      <c r="D14" s="75">
        <f>SUM(D15:D19)</f>
        <v>27590482.96</v>
      </c>
      <c r="E14" s="75">
        <v>0</v>
      </c>
      <c r="F14" s="75">
        <f>SUM(F15:F19)</f>
        <v>2179547095.58</v>
      </c>
      <c r="G14" s="75">
        <f>SUM(G15:G19)</f>
        <v>130899484.81000002</v>
      </c>
      <c r="H14" s="75">
        <v>0</v>
      </c>
      <c r="I14" s="75" t="e">
        <f>SUM(#REF!)</f>
        <v>#REF!</v>
      </c>
      <c r="J14" s="75" t="e">
        <f>SUM(#REF!)</f>
        <v>#REF!</v>
      </c>
      <c r="K14" s="75" t="e">
        <f>SUM(#REF!)</f>
        <v>#REF!</v>
      </c>
      <c r="L14" s="75" t="e">
        <f>SUM(#REF!)</f>
        <v>#REF!</v>
      </c>
      <c r="M14" s="75" t="e">
        <f>SUM(#REF!)</f>
        <v>#REF!</v>
      </c>
      <c r="N14" s="75" t="e">
        <f>SUM(#REF!)</f>
        <v>#REF!</v>
      </c>
      <c r="O14" s="75" t="e">
        <f>SUM(#REF!)</f>
        <v>#REF!</v>
      </c>
      <c r="P14" s="75" t="e">
        <f>SUM(#REF!)</f>
        <v>#REF!</v>
      </c>
      <c r="Q14" s="75" t="e">
        <f>SUM(#REF!)</f>
        <v>#REF!</v>
      </c>
      <c r="R14" s="75" t="e">
        <f>SUM(#REF!)</f>
        <v>#REF!</v>
      </c>
      <c r="S14" s="75" t="e">
        <f>SUM(#REF!)</f>
        <v>#REF!</v>
      </c>
      <c r="T14" s="75" t="e">
        <f>SUM(#REF!)</f>
        <v>#REF!</v>
      </c>
      <c r="U14" s="75" t="e">
        <f>SUM(#REF!)</f>
        <v>#REF!</v>
      </c>
      <c r="V14" s="75" t="e">
        <f>SUM(#REF!)</f>
        <v>#REF!</v>
      </c>
      <c r="W14" s="75" t="e">
        <f>SUM(#REF!)</f>
        <v>#REF!</v>
      </c>
      <c r="X14" s="75" t="e">
        <f>SUM(#REF!)</f>
        <v>#REF!</v>
      </c>
      <c r="Y14" s="75" t="e">
        <f>SUM(#REF!)</f>
        <v>#REF!</v>
      </c>
      <c r="Z14" s="75" t="e">
        <f>SUM(#REF!)</f>
        <v>#REF!</v>
      </c>
      <c r="AA14" s="75" t="e">
        <f>SUM(#REF!)</f>
        <v>#REF!</v>
      </c>
      <c r="AB14" s="75" t="e">
        <f>SUM(#REF!)</f>
        <v>#REF!</v>
      </c>
      <c r="AC14" s="75" t="e">
        <f>SUM(#REF!)</f>
        <v>#REF!</v>
      </c>
      <c r="AD14" s="75" t="e">
        <f>SUM(#REF!)</f>
        <v>#REF!</v>
      </c>
      <c r="AE14" s="75" t="e">
        <f>SUM(#REF!)</f>
        <v>#REF!</v>
      </c>
      <c r="AF14" s="75" t="e">
        <f>SUM(#REF!)</f>
        <v>#REF!</v>
      </c>
      <c r="AG14" s="75" t="e">
        <f>SUM(#REF!)</f>
        <v>#REF!</v>
      </c>
      <c r="AH14" s="75" t="e">
        <f>SUM(#REF!)</f>
        <v>#REF!</v>
      </c>
      <c r="AI14" s="75" t="e">
        <f>SUM(#REF!)</f>
        <v>#REF!</v>
      </c>
      <c r="AJ14" s="75" t="e">
        <f>SUM(#REF!)</f>
        <v>#REF!</v>
      </c>
      <c r="AK14" s="75" t="e">
        <f>SUM(#REF!)</f>
        <v>#REF!</v>
      </c>
      <c r="AL14" s="75" t="e">
        <f>SUM(#REF!)</f>
        <v>#REF!</v>
      </c>
      <c r="AM14" s="75" t="e">
        <f>SUM(#REF!)</f>
        <v>#REF!</v>
      </c>
      <c r="AN14" s="75" t="e">
        <f>SUM(#REF!)</f>
        <v>#REF!</v>
      </c>
      <c r="AO14" s="75" t="e">
        <f>SUM(#REF!)</f>
        <v>#REF!</v>
      </c>
      <c r="AP14" s="75" t="e">
        <f>SUM(#REF!)</f>
        <v>#REF!</v>
      </c>
      <c r="AQ14" s="75" t="e">
        <f>SUM(#REF!)</f>
        <v>#REF!</v>
      </c>
      <c r="AR14" s="75" t="e">
        <f>SUM(#REF!)</f>
        <v>#REF!</v>
      </c>
      <c r="AS14" s="75" t="e">
        <f>SUM(#REF!)</f>
        <v>#REF!</v>
      </c>
      <c r="AT14" s="75" t="e">
        <f>SUM(#REF!)</f>
        <v>#REF!</v>
      </c>
      <c r="AU14" s="75" t="e">
        <f>SUM(#REF!)</f>
        <v>#REF!</v>
      </c>
      <c r="AV14" s="75" t="e">
        <f>SUM(#REF!)</f>
        <v>#REF!</v>
      </c>
      <c r="AW14" s="75" t="e">
        <f>SUM(#REF!)</f>
        <v>#REF!</v>
      </c>
      <c r="AX14" s="75" t="e">
        <f>SUM(#REF!)</f>
        <v>#REF!</v>
      </c>
      <c r="AY14" s="75" t="e">
        <f>SUM(#REF!)</f>
        <v>#REF!</v>
      </c>
      <c r="AZ14" s="75" t="e">
        <f>SUM(#REF!)</f>
        <v>#REF!</v>
      </c>
      <c r="BA14" s="75" t="e">
        <f>SUM(#REF!)</f>
        <v>#REF!</v>
      </c>
      <c r="BB14" s="75" t="e">
        <f>SUM(#REF!)</f>
        <v>#REF!</v>
      </c>
      <c r="BC14" s="75" t="e">
        <f>SUM(#REF!)</f>
        <v>#REF!</v>
      </c>
      <c r="BD14" s="75" t="e">
        <f>SUM(#REF!)</f>
        <v>#REF!</v>
      </c>
      <c r="BE14" s="75" t="e">
        <f>SUM(#REF!)</f>
        <v>#REF!</v>
      </c>
      <c r="BF14" s="75" t="e">
        <f>SUM(#REF!)</f>
        <v>#REF!</v>
      </c>
      <c r="BG14" s="75" t="e">
        <f>SUM(#REF!)</f>
        <v>#REF!</v>
      </c>
      <c r="BH14" s="75" t="e">
        <f>SUM(#REF!)</f>
        <v>#REF!</v>
      </c>
      <c r="BI14" s="75" t="e">
        <f>SUM(#REF!)</f>
        <v>#REF!</v>
      </c>
      <c r="BJ14" s="75" t="e">
        <f>SUM(#REF!)</f>
        <v>#REF!</v>
      </c>
      <c r="BK14" s="75" t="e">
        <f>SUM(#REF!)</f>
        <v>#REF!</v>
      </c>
      <c r="BL14" s="75" t="e">
        <f>SUM(#REF!)</f>
        <v>#REF!</v>
      </c>
      <c r="BM14" s="75" t="e">
        <f>SUM(#REF!)</f>
        <v>#REF!</v>
      </c>
      <c r="BN14" s="75" t="e">
        <f>SUM(#REF!)</f>
        <v>#REF!</v>
      </c>
      <c r="BO14" s="75" t="e">
        <f>SUM(#REF!)</f>
        <v>#REF!</v>
      </c>
      <c r="BP14" s="75" t="e">
        <f>SUM(#REF!)</f>
        <v>#REF!</v>
      </c>
      <c r="BQ14" s="75" t="e">
        <f>SUM(#REF!)</f>
        <v>#REF!</v>
      </c>
      <c r="BR14" s="75" t="e">
        <f>SUM(#REF!)</f>
        <v>#REF!</v>
      </c>
      <c r="BS14" s="75" t="e">
        <f>SUM(#REF!)</f>
        <v>#REF!</v>
      </c>
      <c r="BT14" s="75" t="e">
        <f>SUM(#REF!)</f>
        <v>#REF!</v>
      </c>
      <c r="BU14" s="75" t="e">
        <f>SUM(#REF!)</f>
        <v>#REF!</v>
      </c>
      <c r="BV14" s="75" t="e">
        <f>SUM(#REF!)</f>
        <v>#REF!</v>
      </c>
      <c r="BW14" s="75" t="e">
        <f>SUM(#REF!)</f>
        <v>#REF!</v>
      </c>
      <c r="BX14" s="75" t="e">
        <f>SUM(#REF!)</f>
        <v>#REF!</v>
      </c>
      <c r="BY14" s="75" t="e">
        <f>SUM(#REF!)</f>
        <v>#REF!</v>
      </c>
      <c r="BZ14" s="75" t="e">
        <f>SUM(#REF!)</f>
        <v>#REF!</v>
      </c>
      <c r="CA14" s="75" t="e">
        <f>SUM(#REF!)</f>
        <v>#REF!</v>
      </c>
      <c r="CB14" s="75" t="e">
        <f>SUM(#REF!)</f>
        <v>#REF!</v>
      </c>
      <c r="CC14" s="75" t="e">
        <f>SUM(#REF!)</f>
        <v>#REF!</v>
      </c>
      <c r="CD14" s="75" t="e">
        <f>SUM(#REF!)</f>
        <v>#REF!</v>
      </c>
      <c r="CE14" s="75" t="e">
        <f>SUM(#REF!)</f>
        <v>#REF!</v>
      </c>
      <c r="CF14" s="75" t="e">
        <f>SUM(#REF!)</f>
        <v>#REF!</v>
      </c>
      <c r="CG14" s="75" t="e">
        <f>SUM(#REF!)</f>
        <v>#REF!</v>
      </c>
      <c r="CH14" s="75" t="e">
        <f>SUM(#REF!)</f>
        <v>#REF!</v>
      </c>
      <c r="CI14" s="75" t="e">
        <f>SUM(#REF!)</f>
        <v>#REF!</v>
      </c>
      <c r="CJ14" s="75" t="e">
        <f>SUM(#REF!)</f>
        <v>#REF!</v>
      </c>
      <c r="CK14" s="75" t="e">
        <f>SUM(#REF!)</f>
        <v>#REF!</v>
      </c>
      <c r="CL14" s="75" t="e">
        <f>SUM(#REF!)</f>
        <v>#REF!</v>
      </c>
      <c r="CM14" s="75" t="e">
        <f>SUM(#REF!)</f>
        <v>#REF!</v>
      </c>
      <c r="CN14" s="75" t="e">
        <f>SUM(#REF!)</f>
        <v>#REF!</v>
      </c>
      <c r="CO14" s="75" t="e">
        <f>SUM(#REF!)</f>
        <v>#REF!</v>
      </c>
      <c r="CP14" s="75" t="e">
        <f>SUM(#REF!)</f>
        <v>#REF!</v>
      </c>
      <c r="CQ14" s="75" t="e">
        <f>SUM(#REF!)</f>
        <v>#REF!</v>
      </c>
      <c r="CR14" s="75" t="e">
        <f>SUM(#REF!)</f>
        <v>#REF!</v>
      </c>
      <c r="CS14" s="75" t="e">
        <f>SUM(#REF!)</f>
        <v>#REF!</v>
      </c>
      <c r="CT14" s="75" t="e">
        <f>SUM(#REF!)</f>
        <v>#REF!</v>
      </c>
      <c r="CU14" s="75" t="e">
        <f>SUM(#REF!)</f>
        <v>#REF!</v>
      </c>
      <c r="CV14" s="75" t="e">
        <f>SUM(#REF!)</f>
        <v>#REF!</v>
      </c>
      <c r="CW14" s="75" t="e">
        <f>SUM(#REF!)</f>
        <v>#REF!</v>
      </c>
      <c r="CX14" s="75" t="e">
        <f>SUM(#REF!)</f>
        <v>#REF!</v>
      </c>
      <c r="CY14" s="75" t="e">
        <f>SUM(#REF!)</f>
        <v>#REF!</v>
      </c>
      <c r="CZ14" s="75" t="e">
        <f>SUM(#REF!)</f>
        <v>#REF!</v>
      </c>
      <c r="DA14" s="75" t="e">
        <f>SUM(#REF!)</f>
        <v>#REF!</v>
      </c>
      <c r="DB14" s="75" t="e">
        <f>SUM(#REF!)</f>
        <v>#REF!</v>
      </c>
      <c r="DC14" s="75" t="e">
        <f>SUM(#REF!)</f>
        <v>#REF!</v>
      </c>
      <c r="DD14" s="75" t="e">
        <f>SUM(#REF!)</f>
        <v>#REF!</v>
      </c>
      <c r="DE14" s="75" t="e">
        <f>SUM(#REF!)</f>
        <v>#REF!</v>
      </c>
      <c r="DF14" s="75" t="e">
        <f>SUM(#REF!)</f>
        <v>#REF!</v>
      </c>
      <c r="DG14" s="75" t="e">
        <f>SUM(#REF!)</f>
        <v>#REF!</v>
      </c>
      <c r="DH14" s="75" t="e">
        <f>SUM(#REF!)</f>
        <v>#REF!</v>
      </c>
      <c r="DI14" s="75" t="e">
        <f>SUM(#REF!)</f>
        <v>#REF!</v>
      </c>
      <c r="DJ14" s="75" t="e">
        <f>SUM(#REF!)</f>
        <v>#REF!</v>
      </c>
      <c r="DK14" s="75" t="e">
        <f>SUM(#REF!)</f>
        <v>#REF!</v>
      </c>
      <c r="DL14" s="75" t="e">
        <f>SUM(#REF!)</f>
        <v>#REF!</v>
      </c>
      <c r="DM14" s="75" t="e">
        <f>SUM(#REF!)</f>
        <v>#REF!</v>
      </c>
      <c r="DN14" s="75" t="e">
        <f>SUM(#REF!)</f>
        <v>#REF!</v>
      </c>
      <c r="DO14" s="75" t="e">
        <f>SUM(#REF!)</f>
        <v>#REF!</v>
      </c>
      <c r="DP14" s="75" t="e">
        <f>SUM(#REF!)</f>
        <v>#REF!</v>
      </c>
      <c r="DQ14" s="75" t="e">
        <f>SUM(#REF!)</f>
        <v>#REF!</v>
      </c>
      <c r="DR14" s="75" t="e">
        <f>SUM(#REF!)</f>
        <v>#REF!</v>
      </c>
      <c r="DS14" s="75" t="e">
        <f>SUM(#REF!)</f>
        <v>#REF!</v>
      </c>
      <c r="DT14" s="75" t="e">
        <f>SUM(#REF!)</f>
        <v>#REF!</v>
      </c>
      <c r="DU14" s="75" t="e">
        <f>SUM(#REF!)</f>
        <v>#REF!</v>
      </c>
      <c r="DV14" s="75" t="e">
        <f>SUM(#REF!)</f>
        <v>#REF!</v>
      </c>
      <c r="DW14" s="75" t="e">
        <f>SUM(#REF!)</f>
        <v>#REF!</v>
      </c>
      <c r="DX14" s="75" t="e">
        <f>SUM(#REF!)</f>
        <v>#REF!</v>
      </c>
      <c r="DY14" s="75" t="e">
        <f>SUM(#REF!)</f>
        <v>#REF!</v>
      </c>
      <c r="DZ14" s="75" t="e">
        <f>SUM(#REF!)</f>
        <v>#REF!</v>
      </c>
      <c r="EA14" s="75" t="e">
        <f>SUM(#REF!)</f>
        <v>#REF!</v>
      </c>
      <c r="EB14" s="75" t="e">
        <f>SUM(#REF!)</f>
        <v>#REF!</v>
      </c>
      <c r="EC14" s="75" t="e">
        <f>SUM(#REF!)</f>
        <v>#REF!</v>
      </c>
      <c r="ED14" s="75" t="e">
        <f>SUM(#REF!)</f>
        <v>#REF!</v>
      </c>
      <c r="EE14" s="75" t="e">
        <f>SUM(#REF!)</f>
        <v>#REF!</v>
      </c>
      <c r="EF14" s="75" t="e">
        <f>SUM(#REF!)</f>
        <v>#REF!</v>
      </c>
      <c r="EG14" s="75" t="e">
        <f>SUM(#REF!)</f>
        <v>#REF!</v>
      </c>
      <c r="EH14" s="75" t="e">
        <f>SUM(#REF!)</f>
        <v>#REF!</v>
      </c>
      <c r="EI14" s="75" t="e">
        <f>SUM(#REF!)</f>
        <v>#REF!</v>
      </c>
      <c r="EJ14" s="75" t="e">
        <f>SUM(#REF!)</f>
        <v>#REF!</v>
      </c>
      <c r="EK14" s="75" t="e">
        <f>SUM(#REF!)</f>
        <v>#REF!</v>
      </c>
      <c r="EL14" s="75" t="e">
        <f>SUM(#REF!)</f>
        <v>#REF!</v>
      </c>
      <c r="EM14" s="75" t="e">
        <f>SUM(#REF!)</f>
        <v>#REF!</v>
      </c>
      <c r="EN14" s="75" t="e">
        <f>SUM(#REF!)</f>
        <v>#REF!</v>
      </c>
      <c r="EO14" s="75" t="e">
        <f>SUM(#REF!)</f>
        <v>#REF!</v>
      </c>
      <c r="EP14" s="75" t="e">
        <f>SUM(#REF!)</f>
        <v>#REF!</v>
      </c>
      <c r="EQ14" s="75" t="e">
        <f>SUM(#REF!)</f>
        <v>#REF!</v>
      </c>
      <c r="ER14" s="75" t="e">
        <f>SUM(#REF!)</f>
        <v>#REF!</v>
      </c>
      <c r="ES14" s="75" t="e">
        <f>SUM(#REF!)</f>
        <v>#REF!</v>
      </c>
      <c r="ET14" s="75" t="e">
        <f>SUM(#REF!)</f>
        <v>#REF!</v>
      </c>
      <c r="EU14" s="75" t="e">
        <f>SUM(#REF!)</f>
        <v>#REF!</v>
      </c>
      <c r="EV14" s="75" t="e">
        <f>SUM(#REF!)</f>
        <v>#REF!</v>
      </c>
      <c r="EW14" s="75" t="e">
        <f>SUM(#REF!)</f>
        <v>#REF!</v>
      </c>
      <c r="EX14" s="75" t="e">
        <f>SUM(#REF!)</f>
        <v>#REF!</v>
      </c>
      <c r="EY14" s="75" t="e">
        <f>SUM(#REF!)</f>
        <v>#REF!</v>
      </c>
      <c r="EZ14" s="75" t="e">
        <f>SUM(#REF!)</f>
        <v>#REF!</v>
      </c>
      <c r="FA14" s="75" t="e">
        <f>SUM(#REF!)</f>
        <v>#REF!</v>
      </c>
      <c r="FB14" s="75" t="e">
        <f>SUM(#REF!)</f>
        <v>#REF!</v>
      </c>
      <c r="FC14" s="75" t="e">
        <f>SUM(#REF!)</f>
        <v>#REF!</v>
      </c>
      <c r="FD14" s="75" t="e">
        <f>SUM(#REF!)</f>
        <v>#REF!</v>
      </c>
      <c r="FE14" s="75" t="e">
        <f>SUM(#REF!)</f>
        <v>#REF!</v>
      </c>
      <c r="FF14" s="75" t="e">
        <f>SUM(#REF!)</f>
        <v>#REF!</v>
      </c>
      <c r="FG14" s="75" t="e">
        <f>SUM(#REF!)</f>
        <v>#REF!</v>
      </c>
      <c r="FH14" s="75" t="e">
        <f>SUM(#REF!)</f>
        <v>#REF!</v>
      </c>
      <c r="FI14" s="75" t="e">
        <f>SUM(#REF!)</f>
        <v>#REF!</v>
      </c>
      <c r="FJ14" s="75" t="e">
        <f>SUM(#REF!)</f>
        <v>#REF!</v>
      </c>
      <c r="FK14" s="75" t="e">
        <f>SUM(#REF!)</f>
        <v>#REF!</v>
      </c>
      <c r="FL14" s="75" t="e">
        <f>SUM(#REF!)</f>
        <v>#REF!</v>
      </c>
      <c r="FM14" s="75" t="e">
        <f>SUM(#REF!)</f>
        <v>#REF!</v>
      </c>
      <c r="FN14" s="75" t="e">
        <f>SUM(#REF!)</f>
        <v>#REF!</v>
      </c>
      <c r="FO14" s="75" t="e">
        <f>SUM(#REF!)</f>
        <v>#REF!</v>
      </c>
      <c r="FP14" s="75" t="e">
        <f>SUM(#REF!)</f>
        <v>#REF!</v>
      </c>
      <c r="FQ14" s="75" t="e">
        <f>SUM(#REF!)</f>
        <v>#REF!</v>
      </c>
      <c r="FR14" s="75" t="e">
        <f>SUM(#REF!)</f>
        <v>#REF!</v>
      </c>
      <c r="FS14" s="75" t="e">
        <f>SUM(#REF!)</f>
        <v>#REF!</v>
      </c>
      <c r="FT14" s="75" t="e">
        <f>SUM(#REF!)</f>
        <v>#REF!</v>
      </c>
      <c r="FU14" s="75" t="e">
        <f>SUM(#REF!)</f>
        <v>#REF!</v>
      </c>
      <c r="FV14" s="75" t="e">
        <f>SUM(#REF!)</f>
        <v>#REF!</v>
      </c>
      <c r="FW14" s="75" t="e">
        <f>SUM(#REF!)</f>
        <v>#REF!</v>
      </c>
      <c r="FX14" s="75" t="e">
        <f>SUM(#REF!)</f>
        <v>#REF!</v>
      </c>
      <c r="FY14" s="75" t="e">
        <f>SUM(#REF!)</f>
        <v>#REF!</v>
      </c>
      <c r="FZ14" s="75" t="e">
        <f>SUM(#REF!)</f>
        <v>#REF!</v>
      </c>
      <c r="GA14" s="75" t="e">
        <f>SUM(#REF!)</f>
        <v>#REF!</v>
      </c>
      <c r="GB14" s="75" t="e">
        <f>SUM(#REF!)</f>
        <v>#REF!</v>
      </c>
      <c r="GC14" s="75" t="e">
        <f>SUM(#REF!)</f>
        <v>#REF!</v>
      </c>
      <c r="GD14" s="75" t="e">
        <f>SUM(#REF!)</f>
        <v>#REF!</v>
      </c>
      <c r="GE14" s="75" t="e">
        <f>SUM(#REF!)</f>
        <v>#REF!</v>
      </c>
      <c r="GF14" s="75" t="e">
        <f>SUM(#REF!)</f>
        <v>#REF!</v>
      </c>
      <c r="GG14" s="75" t="e">
        <f>SUM(#REF!)</f>
        <v>#REF!</v>
      </c>
      <c r="GH14" s="75" t="e">
        <f>SUM(#REF!)</f>
        <v>#REF!</v>
      </c>
      <c r="GI14" s="75" t="e">
        <f>SUM(#REF!)</f>
        <v>#REF!</v>
      </c>
      <c r="GJ14" s="75" t="e">
        <f>SUM(#REF!)</f>
        <v>#REF!</v>
      </c>
      <c r="GK14" s="75" t="e">
        <f>SUM(#REF!)</f>
        <v>#REF!</v>
      </c>
      <c r="GL14" s="75" t="e">
        <f>SUM(#REF!)</f>
        <v>#REF!</v>
      </c>
      <c r="GM14" s="75" t="e">
        <f>SUM(#REF!)</f>
        <v>#REF!</v>
      </c>
      <c r="GN14" s="75" t="e">
        <f>SUM(#REF!)</f>
        <v>#REF!</v>
      </c>
      <c r="GO14" s="75" t="e">
        <f>SUM(#REF!)</f>
        <v>#REF!</v>
      </c>
      <c r="GP14" s="75" t="e">
        <f>SUM(#REF!)</f>
        <v>#REF!</v>
      </c>
      <c r="GQ14" s="75" t="e">
        <f>SUM(#REF!)</f>
        <v>#REF!</v>
      </c>
      <c r="GR14" s="75" t="e">
        <f>SUM(#REF!)</f>
        <v>#REF!</v>
      </c>
      <c r="GS14" s="75" t="e">
        <f>SUM(#REF!)</f>
        <v>#REF!</v>
      </c>
      <c r="GT14" s="75" t="e">
        <f>SUM(#REF!)</f>
        <v>#REF!</v>
      </c>
      <c r="GU14" s="75" t="e">
        <f>SUM(#REF!)</f>
        <v>#REF!</v>
      </c>
      <c r="GV14" s="75" t="e">
        <f>SUM(#REF!)</f>
        <v>#REF!</v>
      </c>
      <c r="GW14" s="75" t="e">
        <f>SUM(#REF!)</f>
        <v>#REF!</v>
      </c>
      <c r="GX14" s="75" t="e">
        <f>SUM(#REF!)</f>
        <v>#REF!</v>
      </c>
      <c r="GY14" s="75" t="e">
        <f>SUM(#REF!)</f>
        <v>#REF!</v>
      </c>
      <c r="GZ14" s="75" t="e">
        <f>SUM(#REF!)</f>
        <v>#REF!</v>
      </c>
      <c r="HA14" s="75" t="e">
        <f>SUM(#REF!)</f>
        <v>#REF!</v>
      </c>
      <c r="HB14" s="75" t="e">
        <f>SUM(#REF!)</f>
        <v>#REF!</v>
      </c>
      <c r="HC14" s="75" t="e">
        <f>SUM(#REF!)</f>
        <v>#REF!</v>
      </c>
      <c r="HD14" s="75" t="e">
        <f>SUM(#REF!)</f>
        <v>#REF!</v>
      </c>
      <c r="HE14" s="75" t="e">
        <f>SUM(#REF!)</f>
        <v>#REF!</v>
      </c>
      <c r="HF14" s="75" t="e">
        <f>SUM(#REF!)</f>
        <v>#REF!</v>
      </c>
      <c r="HG14" s="75" t="e">
        <f>SUM(#REF!)</f>
        <v>#REF!</v>
      </c>
      <c r="HH14" s="75" t="e">
        <f>SUM(#REF!)</f>
        <v>#REF!</v>
      </c>
      <c r="HI14" s="75" t="e">
        <f>SUM(#REF!)</f>
        <v>#REF!</v>
      </c>
      <c r="HJ14" s="75" t="e">
        <f>SUM(#REF!)</f>
        <v>#REF!</v>
      </c>
      <c r="HK14" s="75" t="e">
        <f>SUM(#REF!)</f>
        <v>#REF!</v>
      </c>
      <c r="HL14" s="75" t="e">
        <f>SUM(#REF!)</f>
        <v>#REF!</v>
      </c>
      <c r="HM14" s="75" t="e">
        <f>SUM(#REF!)</f>
        <v>#REF!</v>
      </c>
      <c r="HN14" s="75" t="e">
        <f>SUM(#REF!)</f>
        <v>#REF!</v>
      </c>
      <c r="HO14" s="75" t="e">
        <f>SUM(#REF!)</f>
        <v>#REF!</v>
      </c>
      <c r="HP14" s="75" t="e">
        <f>SUM(#REF!)</f>
        <v>#REF!</v>
      </c>
      <c r="HQ14" s="75" t="e">
        <f>SUM(#REF!)</f>
        <v>#REF!</v>
      </c>
      <c r="HR14" s="75" t="e">
        <f>SUM(#REF!)</f>
        <v>#REF!</v>
      </c>
      <c r="HS14" s="75" t="e">
        <f>SUM(#REF!)</f>
        <v>#REF!</v>
      </c>
      <c r="HT14" s="75" t="e">
        <f>SUM(#REF!)</f>
        <v>#REF!</v>
      </c>
      <c r="HU14" s="75" t="e">
        <f>SUM(#REF!)</f>
        <v>#REF!</v>
      </c>
      <c r="HV14" s="75" t="e">
        <f>SUM(#REF!)</f>
        <v>#REF!</v>
      </c>
      <c r="HW14" s="75" t="e">
        <f>SUM(#REF!)</f>
        <v>#REF!</v>
      </c>
      <c r="HX14" s="75" t="e">
        <f>SUM(#REF!)</f>
        <v>#REF!</v>
      </c>
      <c r="HY14" s="75" t="e">
        <f>SUM(#REF!)</f>
        <v>#REF!</v>
      </c>
      <c r="HZ14" s="75" t="e">
        <f>SUM(#REF!)</f>
        <v>#REF!</v>
      </c>
      <c r="IA14" s="75" t="e">
        <f>SUM(#REF!)</f>
        <v>#REF!</v>
      </c>
      <c r="IB14" s="75" t="e">
        <f>SUM(#REF!)</f>
        <v>#REF!</v>
      </c>
      <c r="IC14" s="75" t="e">
        <f>SUM(#REF!)</f>
        <v>#REF!</v>
      </c>
      <c r="ID14" s="75" t="e">
        <f>SUM(#REF!)</f>
        <v>#REF!</v>
      </c>
      <c r="IE14" s="75" t="e">
        <f>SUM(#REF!)</f>
        <v>#REF!</v>
      </c>
      <c r="IF14" s="75" t="e">
        <f>SUM(#REF!)</f>
        <v>#REF!</v>
      </c>
      <c r="IG14" s="75" t="e">
        <f>SUM(#REF!)</f>
        <v>#REF!</v>
      </c>
      <c r="IH14" s="75" t="e">
        <f>SUM(#REF!)</f>
        <v>#REF!</v>
      </c>
      <c r="II14" s="75" t="e">
        <f>SUM(#REF!)</f>
        <v>#REF!</v>
      </c>
      <c r="IJ14" s="75" t="e">
        <f>SUM(#REF!)</f>
        <v>#REF!</v>
      </c>
      <c r="IK14" s="75" t="e">
        <f>SUM(#REF!)</f>
        <v>#REF!</v>
      </c>
      <c r="IL14" s="75" t="e">
        <f>SUM(#REF!)</f>
        <v>#REF!</v>
      </c>
      <c r="IM14" s="75" t="e">
        <f>SUM(#REF!)</f>
        <v>#REF!</v>
      </c>
      <c r="IN14" s="75" t="e">
        <f>SUM(#REF!)</f>
        <v>#REF!</v>
      </c>
      <c r="IO14" s="75" t="e">
        <f>SUM(#REF!)</f>
        <v>#REF!</v>
      </c>
      <c r="IP14" s="75" t="e">
        <f>SUM(#REF!)</f>
        <v>#REF!</v>
      </c>
      <c r="IQ14" s="75" t="e">
        <f>SUM(#REF!)</f>
        <v>#REF!</v>
      </c>
      <c r="IR14" s="75" t="e">
        <f>SUM(#REF!)</f>
        <v>#REF!</v>
      </c>
      <c r="IS14" s="75" t="e">
        <f>SUM(#REF!)</f>
        <v>#REF!</v>
      </c>
      <c r="IT14" s="75" t="e">
        <f>SUM(#REF!)</f>
        <v>#REF!</v>
      </c>
      <c r="IU14" s="109" t="e">
        <f>SUM(#REF!)</f>
        <v>#REF!</v>
      </c>
      <c r="IV14" s="109" t="e">
        <f>SUM(#REF!)</f>
        <v>#REF!</v>
      </c>
    </row>
    <row r="15" spans="1:256" ht="15">
      <c r="A15" s="58" t="s">
        <v>475</v>
      </c>
      <c r="B15" s="115">
        <v>450287438.0699998</v>
      </c>
      <c r="C15" s="115">
        <v>0</v>
      </c>
      <c r="D15" s="115">
        <v>8912751.75</v>
      </c>
      <c r="E15" s="115">
        <v>0</v>
      </c>
      <c r="F15" s="115">
        <v>441374686.3199998</v>
      </c>
      <c r="G15" s="115">
        <v>26545770.94</v>
      </c>
      <c r="H15" s="115">
        <v>0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</row>
    <row r="16" spans="1:256" ht="15">
      <c r="A16" s="58" t="s">
        <v>475</v>
      </c>
      <c r="B16" s="115">
        <v>148288096.75999993</v>
      </c>
      <c r="C16" s="115">
        <v>0</v>
      </c>
      <c r="D16" s="115">
        <v>2736399.6</v>
      </c>
      <c r="E16" s="115">
        <v>0</v>
      </c>
      <c r="F16" s="115">
        <v>145551697.15999994</v>
      </c>
      <c r="G16" s="115">
        <v>8761835.629999999</v>
      </c>
      <c r="H16" s="115">
        <v>0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ht="15">
      <c r="A17" s="58" t="s">
        <v>475</v>
      </c>
      <c r="B17" s="115">
        <v>92784343.22000004</v>
      </c>
      <c r="C17" s="115">
        <v>0</v>
      </c>
      <c r="D17" s="115">
        <v>1712174.1099999999</v>
      </c>
      <c r="E17" s="115">
        <v>0</v>
      </c>
      <c r="F17" s="115">
        <v>91072169.11000004</v>
      </c>
      <c r="G17" s="115">
        <v>5482302.58</v>
      </c>
      <c r="H17" s="115">
        <v>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ht="15">
      <c r="A18" s="58" t="s">
        <v>476</v>
      </c>
      <c r="B18" s="115">
        <v>753565305.5100002</v>
      </c>
      <c r="C18" s="115">
        <v>0</v>
      </c>
      <c r="D18" s="115">
        <v>7279157.119999997</v>
      </c>
      <c r="E18" s="115">
        <v>0</v>
      </c>
      <c r="F18" s="115">
        <v>746286148.3900002</v>
      </c>
      <c r="G18" s="115">
        <v>44956949.56000001</v>
      </c>
      <c r="H18" s="115">
        <v>0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ht="15">
      <c r="A19" s="58" t="s">
        <v>477</v>
      </c>
      <c r="B19" s="115">
        <v>762212394.98</v>
      </c>
      <c r="C19" s="115">
        <v>0</v>
      </c>
      <c r="D19" s="115">
        <v>6950000.380000001</v>
      </c>
      <c r="E19" s="115">
        <v>0</v>
      </c>
      <c r="F19" s="115">
        <v>755262394.6</v>
      </c>
      <c r="G19" s="115">
        <v>45152626.10000001</v>
      </c>
      <c r="H19" s="115">
        <v>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8" ht="15">
      <c r="A20" s="58" t="s">
        <v>138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</row>
    <row r="21" spans="1:8" ht="15">
      <c r="A21" s="58" t="s">
        <v>139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</row>
    <row r="22" spans="1:8" ht="15">
      <c r="A22" s="29"/>
      <c r="B22" s="83"/>
      <c r="C22" s="83"/>
      <c r="D22" s="83"/>
      <c r="E22" s="83"/>
      <c r="F22" s="83"/>
      <c r="G22" s="83"/>
      <c r="H22" s="83"/>
    </row>
    <row r="23" spans="1:8" s="124" customFormat="1" ht="15">
      <c r="A23" s="122" t="s">
        <v>140</v>
      </c>
      <c r="B23" s="84">
        <v>231645499.8</v>
      </c>
      <c r="C23" s="123"/>
      <c r="D23" s="123"/>
      <c r="E23" s="125"/>
      <c r="F23" s="127">
        <v>292358249.44</v>
      </c>
      <c r="G23" s="126"/>
      <c r="H23" s="123"/>
    </row>
    <row r="24" spans="1:8" ht="15">
      <c r="A24" s="29"/>
      <c r="B24" s="83"/>
      <c r="C24" s="83"/>
      <c r="D24" s="83"/>
      <c r="E24" s="83"/>
      <c r="F24" s="83"/>
      <c r="G24" s="83"/>
      <c r="H24" s="83"/>
    </row>
    <row r="25" spans="1:8" ht="15">
      <c r="A25" s="56" t="s">
        <v>141</v>
      </c>
      <c r="B25" s="77">
        <f>B8+B23</f>
        <v>2438783078.34</v>
      </c>
      <c r="C25" s="77">
        <f aca="true" t="shared" si="7" ref="C25:H25">C8+C23</f>
        <v>0</v>
      </c>
      <c r="D25" s="77">
        <f t="shared" si="7"/>
        <v>27590482.96</v>
      </c>
      <c r="E25" s="77">
        <f t="shared" si="7"/>
        <v>0</v>
      </c>
      <c r="F25" s="77">
        <f>F8+F23</f>
        <v>2471905345.02</v>
      </c>
      <c r="G25" s="77">
        <f t="shared" si="7"/>
        <v>130899484.81000002</v>
      </c>
      <c r="H25" s="77">
        <f t="shared" si="7"/>
        <v>0</v>
      </c>
    </row>
    <row r="26" spans="1:8" ht="15">
      <c r="A26" s="29"/>
      <c r="B26" s="76"/>
      <c r="C26" s="76"/>
      <c r="D26" s="76"/>
      <c r="E26" s="76"/>
      <c r="F26" s="76"/>
      <c r="G26" s="76"/>
      <c r="H26" s="76"/>
    </row>
    <row r="27" spans="1:8" ht="17.25">
      <c r="A27" s="56" t="s">
        <v>142</v>
      </c>
      <c r="B27" s="77">
        <f>SUM(B28:DEUDA_CONT_FIN_01)</f>
        <v>0</v>
      </c>
      <c r="C27" s="77">
        <f>SUM(C28:DEUDA_CONT_FIN_02)</f>
        <v>0</v>
      </c>
      <c r="D27" s="77">
        <f>SUM(D28:DEUDA_CONT_FIN_03)</f>
        <v>0</v>
      </c>
      <c r="E27" s="77">
        <f>SUM(E28:DEUDA_CONT_FIN_04)</f>
        <v>0</v>
      </c>
      <c r="F27" s="77">
        <f>SUM(F28:DEUDA_CONT_FIN_05)</f>
        <v>0</v>
      </c>
      <c r="G27" s="77">
        <f>SUM(G28:DEUDA_CONT_FIN_06)</f>
        <v>0</v>
      </c>
      <c r="H27" s="77">
        <f>SUM(H28:DEUDA_CONT_FIN_07)</f>
        <v>0</v>
      </c>
    </row>
    <row r="28" spans="1:8" ht="15">
      <c r="A28" s="59" t="s">
        <v>143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</row>
    <row r="29" spans="1:8" ht="15">
      <c r="A29" s="59" t="s">
        <v>144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</row>
    <row r="30" spans="1:8" ht="15">
      <c r="A30" s="59" t="s">
        <v>145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15">
      <c r="A31" s="33" t="s">
        <v>146</v>
      </c>
      <c r="B31" s="76"/>
      <c r="C31" s="76"/>
      <c r="D31" s="76"/>
      <c r="E31" s="76"/>
      <c r="F31" s="76"/>
      <c r="G31" s="76"/>
      <c r="H31" s="76"/>
    </row>
    <row r="32" spans="1:8" ht="17.25">
      <c r="A32" s="56" t="s">
        <v>147</v>
      </c>
      <c r="B32" s="77">
        <f>SUM(B33:VALOR_INS_BCC_FIN_01)</f>
        <v>476222500</v>
      </c>
      <c r="C32" s="77">
        <f>SUM(C33:VALOR_INS_BCC_FIN_02)</f>
        <v>0</v>
      </c>
      <c r="D32" s="77">
        <f>SUM(D33:VALOR_INS_BCC_FIN_03)</f>
        <v>0</v>
      </c>
      <c r="E32" s="77">
        <f>SUM(E33:VALOR_INS_BCC_FIN_04)</f>
        <v>0</v>
      </c>
      <c r="F32" s="77">
        <f>SUM(F33:VALOR_INS_BCC_FIN_05)</f>
        <v>476222500</v>
      </c>
      <c r="G32" s="77">
        <f>SUM(G33:VALOR_INS_BCC_FIN_06)</f>
        <v>19625682.77</v>
      </c>
      <c r="H32" s="77">
        <f>SUM(H33:zfds)</f>
        <v>0</v>
      </c>
    </row>
    <row r="33" spans="1:8" ht="17.25">
      <c r="A33" s="59" t="s">
        <v>450</v>
      </c>
      <c r="B33" s="75">
        <v>83449015</v>
      </c>
      <c r="C33" s="75">
        <v>0</v>
      </c>
      <c r="D33" s="75">
        <v>0</v>
      </c>
      <c r="E33" s="75">
        <v>0</v>
      </c>
      <c r="F33" s="75">
        <v>83449015</v>
      </c>
      <c r="G33" s="75">
        <v>3573333.17</v>
      </c>
      <c r="H33" s="75">
        <v>0</v>
      </c>
    </row>
    <row r="34" spans="1:8" ht="17.25">
      <c r="A34" s="59" t="s">
        <v>451</v>
      </c>
      <c r="B34" s="75">
        <v>208708907</v>
      </c>
      <c r="C34" s="75">
        <v>0</v>
      </c>
      <c r="D34" s="75">
        <v>0</v>
      </c>
      <c r="E34" s="75">
        <v>0</v>
      </c>
      <c r="F34" s="75">
        <v>208708907</v>
      </c>
      <c r="G34" s="75">
        <v>8414879.77</v>
      </c>
      <c r="H34" s="75">
        <v>0</v>
      </c>
    </row>
    <row r="35" spans="1:8" ht="17.25">
      <c r="A35" s="59" t="s">
        <v>452</v>
      </c>
      <c r="B35" s="75">
        <v>72675017</v>
      </c>
      <c r="C35" s="75">
        <v>0</v>
      </c>
      <c r="D35" s="75">
        <v>0</v>
      </c>
      <c r="E35" s="75">
        <v>0</v>
      </c>
      <c r="F35" s="75">
        <v>72675017</v>
      </c>
      <c r="G35" s="75">
        <v>3088824.2399999998</v>
      </c>
      <c r="H35" s="75">
        <v>0</v>
      </c>
    </row>
    <row r="36" spans="1:8" ht="17.25">
      <c r="A36" s="59" t="s">
        <v>453</v>
      </c>
      <c r="B36" s="75">
        <v>6854706</v>
      </c>
      <c r="C36" s="75">
        <v>0</v>
      </c>
      <c r="D36" s="75">
        <v>0</v>
      </c>
      <c r="E36" s="75">
        <v>0</v>
      </c>
      <c r="F36" s="75">
        <v>6854706</v>
      </c>
      <c r="G36" s="75">
        <v>290483.38</v>
      </c>
      <c r="H36" s="75">
        <v>0</v>
      </c>
    </row>
    <row r="37" spans="1:8" ht="17.25">
      <c r="A37" s="59" t="s">
        <v>454</v>
      </c>
      <c r="B37" s="75">
        <v>104534855</v>
      </c>
      <c r="C37" s="75">
        <v>0</v>
      </c>
      <c r="D37" s="75">
        <v>0</v>
      </c>
      <c r="E37" s="75"/>
      <c r="F37" s="75">
        <v>104534855</v>
      </c>
      <c r="G37" s="75">
        <v>4258162.209999999</v>
      </c>
      <c r="H37" s="75">
        <v>0</v>
      </c>
    </row>
    <row r="38" spans="1:8" ht="15">
      <c r="A38" s="60" t="s">
        <v>146</v>
      </c>
      <c r="B38" s="85"/>
      <c r="C38" s="35"/>
      <c r="D38" s="35"/>
      <c r="E38" s="35"/>
      <c r="F38" s="35"/>
      <c r="G38" s="35"/>
      <c r="H38" s="35"/>
    </row>
    <row r="39" spans="1:8" ht="15">
      <c r="A39" s="61"/>
      <c r="B39" s="86"/>
      <c r="C39" s="32"/>
      <c r="D39" s="32"/>
      <c r="E39" s="32"/>
      <c r="F39" s="32"/>
      <c r="G39" s="32"/>
      <c r="H39" s="32"/>
    </row>
    <row r="40" spans="1:8" ht="15">
      <c r="A40" s="158" t="s">
        <v>455</v>
      </c>
      <c r="B40" s="159"/>
      <c r="C40" s="159"/>
      <c r="D40" s="159"/>
      <c r="E40" s="159"/>
      <c r="F40" s="159"/>
      <c r="G40" s="159"/>
      <c r="H40" s="159"/>
    </row>
    <row r="41" spans="1:8" ht="15">
      <c r="A41" s="159"/>
      <c r="B41" s="159"/>
      <c r="C41" s="159"/>
      <c r="D41" s="159"/>
      <c r="E41" s="159"/>
      <c r="F41" s="159"/>
      <c r="G41" s="159"/>
      <c r="H41" s="159"/>
    </row>
    <row r="42" spans="1:8" ht="15">
      <c r="A42" s="159"/>
      <c r="B42" s="159"/>
      <c r="C42" s="159"/>
      <c r="D42" s="159"/>
      <c r="E42" s="159"/>
      <c r="F42" s="159"/>
      <c r="G42" s="159"/>
      <c r="H42" s="159"/>
    </row>
    <row r="43" spans="1:8" ht="15">
      <c r="A43" s="159"/>
      <c r="B43" s="159"/>
      <c r="C43" s="159"/>
      <c r="D43" s="159"/>
      <c r="E43" s="159"/>
      <c r="F43" s="159"/>
      <c r="G43" s="159"/>
      <c r="H43" s="159"/>
    </row>
    <row r="44" spans="1:8" ht="15">
      <c r="A44" s="159"/>
      <c r="B44" s="159"/>
      <c r="C44" s="159"/>
      <c r="D44" s="159"/>
      <c r="E44" s="159"/>
      <c r="F44" s="159"/>
      <c r="G44" s="159"/>
      <c r="H44" s="159"/>
    </row>
    <row r="45" spans="1:8" ht="15">
      <c r="A45" s="61"/>
      <c r="B45" s="86"/>
      <c r="C45" s="32"/>
      <c r="D45" s="32"/>
      <c r="E45" s="32"/>
      <c r="F45" s="32"/>
      <c r="G45" s="32"/>
      <c r="H45" s="32"/>
    </row>
    <row r="46" spans="1:8" ht="30">
      <c r="A46" s="5" t="s">
        <v>148</v>
      </c>
      <c r="B46" s="87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2"/>
      <c r="H46" s="32"/>
    </row>
    <row r="47" spans="1:8" ht="15">
      <c r="A47" s="29"/>
      <c r="B47" s="82"/>
      <c r="C47" s="51"/>
      <c r="D47" s="51"/>
      <c r="E47" s="51"/>
      <c r="F47" s="51"/>
      <c r="G47" s="32"/>
      <c r="H47" s="32"/>
    </row>
    <row r="48" spans="1:8" ht="15">
      <c r="A48" s="56" t="s">
        <v>154</v>
      </c>
      <c r="B48" s="77">
        <f>SUM(B49:OB_CORTO_PLAZO_FIN_01)</f>
        <v>0</v>
      </c>
      <c r="C48" s="77">
        <f>SUM(C49:fgsgfdfdfzxvzcvczv)</f>
        <v>0</v>
      </c>
      <c r="D48" s="77">
        <f>SUM(D49:OB_CORTO_PLAZO_FIN_03)</f>
        <v>0</v>
      </c>
      <c r="E48" s="77">
        <f>SUM(E49:gfhdhdgh)</f>
        <v>0</v>
      </c>
      <c r="F48" s="77">
        <f>SUM(F49:OB_CORTO_PLAZO_FIN_05)</f>
        <v>0</v>
      </c>
      <c r="G48" s="32"/>
      <c r="H48" s="32"/>
    </row>
    <row r="49" spans="1:8" ht="15">
      <c r="A49" s="59" t="s">
        <v>155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62"/>
      <c r="H49" s="62"/>
    </row>
    <row r="50" spans="1:8" ht="15">
      <c r="A50" s="59" t="s">
        <v>156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62"/>
      <c r="H50" s="62"/>
    </row>
    <row r="51" spans="1:8" ht="15">
      <c r="A51" s="59" t="s">
        <v>157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62"/>
      <c r="H51" s="62"/>
    </row>
    <row r="52" spans="1:8" ht="15">
      <c r="A52" s="63" t="s">
        <v>146</v>
      </c>
      <c r="B52" s="85"/>
      <c r="C52" s="35"/>
      <c r="D52" s="35"/>
      <c r="E52" s="35"/>
      <c r="F52" s="35"/>
      <c r="G52" s="32"/>
      <c r="H52" s="32"/>
    </row>
    <row r="53" spans="1:8" ht="15">
      <c r="A53" s="32"/>
      <c r="B53" s="86"/>
      <c r="C53" s="32"/>
      <c r="D53" s="32"/>
      <c r="E53" s="32"/>
      <c r="F53" s="32"/>
      <c r="G53" s="32"/>
      <c r="H53" s="32"/>
    </row>
    <row r="54" ht="15"/>
    <row r="55" ht="15"/>
    <row r="56" ht="15"/>
    <row r="57" ht="15"/>
    <row r="58" ht="15"/>
    <row r="59" ht="1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C8:H12 C13:IV19 C20:H37 B8:B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 horizontalCentered="1"/>
  <pageMargins left="0.7874015748031497" right="0.3937007874015748" top="0.7480314960629921" bottom="0.7480314960629921" header="0.31496062992125984" footer="0.31496062992125984"/>
  <pageSetup fitToHeight="1" fitToWidth="1" horizontalDpi="600" verticalDpi="600" orientation="landscape" scale="59" r:id="rId1"/>
  <ignoredErrors>
    <ignoredError sqref="C8:F8 B9:E9 H27 H13 H25 H32 E25 C13:F13 C32:E32 B27:G27 C25 B26:G26 D25 B28:G31 B33:F33 B32 F32:G32 B20:G22 IV13:IV14 B48:F48 B24:G24 C23:E23 G23 G9:H9 H8 G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B1">
      <selection activeCell="K7" sqref="K7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2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1" customFormat="1" ht="37.5" customHeight="1">
      <c r="A1" s="161" t="s">
        <v>158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0"/>
    </row>
    <row r="2" spans="1:11" ht="15">
      <c r="A2" s="146" t="s">
        <v>289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</row>
    <row r="3" spans="1:11" ht="15">
      <c r="A3" s="149" t="s">
        <v>159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ht="15">
      <c r="A4" s="152" t="s">
        <v>478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15">
      <c r="A5" s="149" t="s">
        <v>2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482</v>
      </c>
      <c r="J6" s="2" t="s">
        <v>483</v>
      </c>
      <c r="K6" s="2" t="s">
        <v>484</v>
      </c>
    </row>
    <row r="7" spans="1:11" ht="15">
      <c r="A7" s="21"/>
      <c r="B7" s="7"/>
      <c r="C7" s="7"/>
      <c r="D7" s="7"/>
      <c r="E7" s="51"/>
      <c r="F7" s="7"/>
      <c r="G7" s="51"/>
      <c r="H7" s="51"/>
      <c r="I7" s="51"/>
      <c r="J7" s="51"/>
      <c r="K7" s="51"/>
    </row>
    <row r="8" spans="1:11" ht="15">
      <c r="A8" s="130" t="s">
        <v>168</v>
      </c>
      <c r="B8" s="12"/>
      <c r="C8" s="12"/>
      <c r="D8" s="12"/>
      <c r="E8" s="77">
        <f>SUM(E9:APP_FIN_04)</f>
        <v>0</v>
      </c>
      <c r="F8" s="88"/>
      <c r="G8" s="77">
        <f>SUM(G9:APP_FIN_06)</f>
        <v>0</v>
      </c>
      <c r="H8" s="77">
        <f>SUM(H9:APP_FIN_07)</f>
        <v>0</v>
      </c>
      <c r="I8" s="77">
        <f>SUM(I9:APP_FIN_08)</f>
        <v>0</v>
      </c>
      <c r="J8" s="77">
        <f>SUM(J9:APP_FIN_09)</f>
        <v>0</v>
      </c>
      <c r="K8" s="77">
        <f>SUM(K9:APP_FIN_10)</f>
        <v>0</v>
      </c>
    </row>
    <row r="9" spans="1:11" s="9" customFormat="1" ht="15">
      <c r="A9" s="131" t="s">
        <v>169</v>
      </c>
      <c r="B9" s="52"/>
      <c r="C9" s="52"/>
      <c r="D9" s="52"/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f>E9-J9</f>
        <v>0</v>
      </c>
    </row>
    <row r="10" spans="1:11" s="9" customFormat="1" ht="15">
      <c r="A10" s="131" t="s">
        <v>170</v>
      </c>
      <c r="B10" s="52"/>
      <c r="C10" s="52"/>
      <c r="D10" s="52"/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s="9" customFormat="1" ht="15">
      <c r="A11" s="131" t="s">
        <v>171</v>
      </c>
      <c r="B11" s="52"/>
      <c r="C11" s="52"/>
      <c r="D11" s="52"/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s="9" customFormat="1" ht="15">
      <c r="A12" s="131" t="s">
        <v>172</v>
      </c>
      <c r="B12" s="52"/>
      <c r="C12" s="52"/>
      <c r="D12" s="52"/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ht="15">
      <c r="A13" s="55" t="s">
        <v>146</v>
      </c>
      <c r="B13" s="53"/>
      <c r="C13" s="53"/>
      <c r="D13" s="53"/>
      <c r="E13" s="76"/>
      <c r="F13" s="76"/>
      <c r="G13" s="76"/>
      <c r="H13" s="76"/>
      <c r="I13" s="76"/>
      <c r="J13" s="76"/>
      <c r="K13" s="76"/>
    </row>
    <row r="14" spans="1:11" ht="15">
      <c r="A14" s="130" t="s">
        <v>173</v>
      </c>
      <c r="B14" s="12"/>
      <c r="C14" s="12"/>
      <c r="D14" s="12"/>
      <c r="E14" s="77">
        <f>SUM(E15:OTROS_FIN_04)</f>
        <v>0</v>
      </c>
      <c r="F14" s="88"/>
      <c r="G14" s="77">
        <f>SUM(G15:OTROS_FIN_06)</f>
        <v>0</v>
      </c>
      <c r="H14" s="77">
        <f>SUM(H15:OTROS_FIN_07)</f>
        <v>0</v>
      </c>
      <c r="I14" s="77">
        <f>SUM(I15:OTROS_FIN_08)</f>
        <v>0</v>
      </c>
      <c r="J14" s="77">
        <f>SUM(J15:OTROS_FIN_09)</f>
        <v>0</v>
      </c>
      <c r="K14" s="77">
        <f>SUM(K15:OTROS_FIN_10)</f>
        <v>0</v>
      </c>
    </row>
    <row r="15" spans="1:11" s="9" customFormat="1" ht="15">
      <c r="A15" s="131" t="s">
        <v>174</v>
      </c>
      <c r="B15" s="52"/>
      <c r="C15" s="52"/>
      <c r="D15" s="52"/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f>E15-J15</f>
        <v>0</v>
      </c>
    </row>
    <row r="16" spans="1:11" s="9" customFormat="1" ht="15">
      <c r="A16" s="131" t="s">
        <v>175</v>
      </c>
      <c r="B16" s="52"/>
      <c r="C16" s="52"/>
      <c r="D16" s="52"/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s="9" customFormat="1" ht="15">
      <c r="A17" s="131" t="s">
        <v>176</v>
      </c>
      <c r="B17" s="52"/>
      <c r="C17" s="52"/>
      <c r="D17" s="52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s="9" customFormat="1" ht="15">
      <c r="A18" s="131" t="s">
        <v>177</v>
      </c>
      <c r="B18" s="52"/>
      <c r="C18" s="52"/>
      <c r="D18" s="52"/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ht="15">
      <c r="A19" s="55" t="s">
        <v>146</v>
      </c>
      <c r="B19" s="53"/>
      <c r="C19" s="53"/>
      <c r="D19" s="53"/>
      <c r="E19" s="76"/>
      <c r="F19" s="76"/>
      <c r="G19" s="76"/>
      <c r="H19" s="76"/>
      <c r="I19" s="76"/>
      <c r="J19" s="76"/>
      <c r="K19" s="76"/>
    </row>
    <row r="20" spans="1:11" ht="15">
      <c r="A20" s="130" t="s">
        <v>178</v>
      </c>
      <c r="B20" s="12"/>
      <c r="C20" s="12"/>
      <c r="D20" s="12"/>
      <c r="E20" s="77">
        <f>fdggdfgdgfd+sdfsdfsfds</f>
        <v>0</v>
      </c>
      <c r="F20" s="88"/>
      <c r="G20" s="77">
        <f>sdfsfsdf+OTROS_T6</f>
        <v>0</v>
      </c>
      <c r="H20" s="77">
        <f>APP_T7+dsfdsdsdsdsdsdsdsdsdsdsdsdsdsdsdsdsdsdsdsdsdsdsdsdsdsdsdsdsdsdsdsdsdsds</f>
        <v>0</v>
      </c>
      <c r="I20" s="77">
        <f>APP_T8+dsfsfdsffffffff</f>
        <v>0</v>
      </c>
      <c r="J20" s="77">
        <f>fdsfdsfdsfdsfdsfdsfdsfdsfdsfdsfdsfds+OTROS_T9</f>
        <v>0</v>
      </c>
      <c r="K20" s="77">
        <f>APP_T10+OTROS_T10</f>
        <v>0</v>
      </c>
    </row>
    <row r="21" spans="1:11" ht="15">
      <c r="A21" s="30"/>
      <c r="B21" s="8"/>
      <c r="C21" s="8"/>
      <c r="D21" s="8"/>
      <c r="E21" s="35"/>
      <c r="F21" s="8"/>
      <c r="G21" s="35"/>
      <c r="H21" s="35"/>
      <c r="I21" s="35"/>
      <c r="J21" s="35"/>
      <c r="K21" s="35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40">
      <selection activeCell="B63" sqref="B63:D63"/>
    </sheetView>
  </sheetViews>
  <sheetFormatPr defaultColWidth="0.8554687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61" t="s">
        <v>179</v>
      </c>
      <c r="B1" s="161"/>
      <c r="C1" s="161"/>
      <c r="D1" s="161"/>
    </row>
    <row r="2" spans="1:4" ht="15">
      <c r="A2" s="146" t="s">
        <v>289</v>
      </c>
      <c r="B2" s="147"/>
      <c r="C2" s="147"/>
      <c r="D2" s="148"/>
    </row>
    <row r="3" spans="1:4" ht="15">
      <c r="A3" s="149" t="s">
        <v>180</v>
      </c>
      <c r="B3" s="150"/>
      <c r="C3" s="150"/>
      <c r="D3" s="151"/>
    </row>
    <row r="4" spans="1:4" ht="15">
      <c r="A4" s="152" t="s">
        <v>478</v>
      </c>
      <c r="B4" s="153"/>
      <c r="C4" s="153"/>
      <c r="D4" s="154"/>
    </row>
    <row r="5" spans="1:4" ht="15">
      <c r="A5" s="155" t="s">
        <v>2</v>
      </c>
      <c r="B5" s="156"/>
      <c r="C5" s="156"/>
      <c r="D5" s="157"/>
    </row>
    <row r="6" spans="1:4" ht="15">
      <c r="A6" s="32"/>
      <c r="B6" s="32"/>
      <c r="C6" s="32"/>
      <c r="D6" s="32"/>
    </row>
    <row r="7" spans="1:4" ht="30">
      <c r="A7" s="13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0" t="s">
        <v>184</v>
      </c>
      <c r="B8" s="41">
        <f>SUM(B9:B11)</f>
        <v>24769484921</v>
      </c>
      <c r="C8" s="41">
        <f>SUM(C9:C11)</f>
        <v>15052149806.66</v>
      </c>
      <c r="D8" s="41">
        <f>SUM(D9:D11)</f>
        <v>15051306601.66</v>
      </c>
    </row>
    <row r="9" spans="1:4" ht="15">
      <c r="A9" s="18" t="s">
        <v>185</v>
      </c>
      <c r="B9" s="43">
        <f>+'Formato 5'!B41</f>
        <v>12560746811</v>
      </c>
      <c r="C9" s="43">
        <f>+'Formato 5'!E41</f>
        <v>8204657291.61</v>
      </c>
      <c r="D9" s="50">
        <f>+'Formato 5'!F41</f>
        <v>8203814086.61</v>
      </c>
    </row>
    <row r="10" spans="1:4" ht="15">
      <c r="A10" s="18" t="s">
        <v>186</v>
      </c>
      <c r="B10" s="43">
        <f>+'Formato 5'!B65</f>
        <v>12265972110</v>
      </c>
      <c r="C10" s="43">
        <f>+'Formato 5'!E65</f>
        <v>6875082998.01</v>
      </c>
      <c r="D10" s="50">
        <f>+'Formato 5'!F65</f>
        <v>6875082998.01</v>
      </c>
    </row>
    <row r="11" spans="1:4" ht="15">
      <c r="A11" s="18" t="s">
        <v>187</v>
      </c>
      <c r="B11" s="43">
        <f>B44</f>
        <v>-57234000</v>
      </c>
      <c r="C11" s="43">
        <f>C44</f>
        <v>-27590482.96</v>
      </c>
      <c r="D11" s="43">
        <f>D44</f>
        <v>-27590482.96</v>
      </c>
    </row>
    <row r="12" spans="1:4" ht="15">
      <c r="A12" s="19"/>
      <c r="B12" s="34"/>
      <c r="C12" s="34"/>
      <c r="D12" s="34"/>
    </row>
    <row r="13" spans="1:4" ht="15">
      <c r="A13" s="20" t="s">
        <v>188</v>
      </c>
      <c r="B13" s="41">
        <f>B14+B15</f>
        <v>24769484921</v>
      </c>
      <c r="C13" s="41">
        <f>C14+C15</f>
        <v>12140663370.519999</v>
      </c>
      <c r="D13" s="41">
        <f>D14+D15</f>
        <v>12134495772.519999</v>
      </c>
    </row>
    <row r="14" spans="1:4" ht="15">
      <c r="A14" s="18" t="s">
        <v>189</v>
      </c>
      <c r="B14" s="43">
        <f>+'Formato 6 a)'!B9-'Formato 6 a)'!B75</f>
        <v>12503512811</v>
      </c>
      <c r="C14" s="43">
        <f>+'Formato 6 a)'!E9-'Formato 6 a)'!E75</f>
        <v>5813009762.469999</v>
      </c>
      <c r="D14" s="43">
        <f>+'Formato 6 a)'!F9-'Formato 6 a)'!F75</f>
        <v>5806842164.469999</v>
      </c>
    </row>
    <row r="15" spans="1:4" ht="15">
      <c r="A15" s="18" t="s">
        <v>190</v>
      </c>
      <c r="B15" s="43">
        <f>+'Formato 6 a)'!B83-'Formato 6 a)'!B150</f>
        <v>12265972110</v>
      </c>
      <c r="C15" s="43">
        <f>+'Formato 6 a)'!E83-'Formato 6 a)'!E150</f>
        <v>6327653608.049999</v>
      </c>
      <c r="D15" s="43">
        <f>+'Formato 6 a)'!F83-'Formato 6 a)'!F150</f>
        <v>6327653608.049999</v>
      </c>
    </row>
    <row r="16" spans="1:4" ht="15">
      <c r="A16" s="19"/>
      <c r="B16" s="34"/>
      <c r="C16" s="34"/>
      <c r="D16" s="34"/>
    </row>
    <row r="17" spans="1:4" ht="15">
      <c r="A17" s="20" t="s">
        <v>191</v>
      </c>
      <c r="B17" s="15">
        <f>B18+B19</f>
        <v>0</v>
      </c>
      <c r="C17" s="14">
        <f>C18+C19</f>
        <v>437551143.71000004</v>
      </c>
      <c r="D17" s="14">
        <f>D18+D19</f>
        <v>437551143.71000004</v>
      </c>
    </row>
    <row r="18" spans="1:4" ht="15">
      <c r="A18" s="18" t="s">
        <v>192</v>
      </c>
      <c r="B18" s="16">
        <v>0</v>
      </c>
      <c r="C18" s="50">
        <v>293880688.81</v>
      </c>
      <c r="D18" s="50">
        <v>293880688.81</v>
      </c>
    </row>
    <row r="19" spans="1:4" ht="15">
      <c r="A19" s="18" t="s">
        <v>193</v>
      </c>
      <c r="B19" s="16">
        <v>0</v>
      </c>
      <c r="C19" s="50">
        <v>143670454.9</v>
      </c>
      <c r="D19" s="50">
        <v>143670454.90000004</v>
      </c>
    </row>
    <row r="20" spans="1:4" ht="15">
      <c r="A20" s="19"/>
      <c r="B20" s="34"/>
      <c r="C20" s="34"/>
      <c r="D20" s="34"/>
    </row>
    <row r="21" spans="1:4" ht="15">
      <c r="A21" s="20" t="s">
        <v>194</v>
      </c>
      <c r="B21" s="89">
        <f>B8-B13+B17</f>
        <v>0</v>
      </c>
      <c r="C21" s="41">
        <f>C8-C13+C17</f>
        <v>3349037579.8500013</v>
      </c>
      <c r="D21" s="121">
        <f>D8-D13+D17</f>
        <v>3354361972.8500013</v>
      </c>
    </row>
    <row r="22" spans="1:4" ht="15">
      <c r="A22" s="20"/>
      <c r="B22" s="34"/>
      <c r="C22" s="34"/>
      <c r="D22" s="34"/>
    </row>
    <row r="23" spans="1:4" ht="15">
      <c r="A23" s="20" t="s">
        <v>195</v>
      </c>
      <c r="B23" s="41">
        <f>B21-B11</f>
        <v>57234000</v>
      </c>
      <c r="C23" s="41">
        <f>C21-C11</f>
        <v>3376628062.8100014</v>
      </c>
      <c r="D23" s="41">
        <f>D21-D11</f>
        <v>3381952455.8100014</v>
      </c>
    </row>
    <row r="24" spans="1:4" ht="15">
      <c r="A24" s="20"/>
      <c r="B24" s="49"/>
      <c r="C24" s="49"/>
      <c r="D24" s="49"/>
    </row>
    <row r="25" spans="1:4" ht="15">
      <c r="A25" s="37" t="s">
        <v>196</v>
      </c>
      <c r="B25" s="41">
        <f>B23-B17</f>
        <v>57234000</v>
      </c>
      <c r="C25" s="41">
        <f>C23-C17</f>
        <v>2939076919.1000013</v>
      </c>
      <c r="D25" s="41">
        <f>D23-D17</f>
        <v>2944401312.1000013</v>
      </c>
    </row>
    <row r="26" spans="1:4" ht="15">
      <c r="A26" s="48"/>
      <c r="B26" s="35"/>
      <c r="C26" s="35"/>
      <c r="D26" s="35"/>
    </row>
    <row r="27" spans="1:4" ht="15">
      <c r="A27" s="61"/>
      <c r="B27" s="32"/>
      <c r="C27" s="32"/>
      <c r="D27" s="32"/>
    </row>
    <row r="28" spans="1:4" ht="15">
      <c r="A28" s="13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0" t="s">
        <v>200</v>
      </c>
      <c r="B29" s="23">
        <f>B30+B31</f>
        <v>302124843</v>
      </c>
      <c r="C29" s="23">
        <f>C30+C31</f>
        <v>150525167.58</v>
      </c>
      <c r="D29" s="23">
        <f>D30+D31</f>
        <v>150525167.58</v>
      </c>
    </row>
    <row r="30" spans="1:4" ht="15">
      <c r="A30" s="18" t="s">
        <v>201</v>
      </c>
      <c r="B30" s="24">
        <f>+'Formato 6 a)'!B76</f>
        <v>302124843</v>
      </c>
      <c r="C30" s="24">
        <f>+'Formato 6 a)'!E76</f>
        <v>150525167.58</v>
      </c>
      <c r="D30" s="24">
        <f>+'Formato 6 a)'!F76</f>
        <v>150525167.58</v>
      </c>
    </row>
    <row r="31" spans="1:4" ht="15">
      <c r="A31" s="18" t="s">
        <v>202</v>
      </c>
      <c r="B31" s="75">
        <v>0</v>
      </c>
      <c r="C31" s="75">
        <v>0</v>
      </c>
      <c r="D31" s="75">
        <v>0</v>
      </c>
    </row>
    <row r="32" spans="1:4" ht="15">
      <c r="A32" s="29"/>
      <c r="B32" s="25"/>
      <c r="C32" s="25"/>
      <c r="D32" s="25"/>
    </row>
    <row r="33" spans="1:4" ht="15">
      <c r="A33" s="20" t="s">
        <v>203</v>
      </c>
      <c r="B33" s="23">
        <f>B25+B29</f>
        <v>359358843</v>
      </c>
      <c r="C33" s="23">
        <f>C25+C29</f>
        <v>3089602086.6800013</v>
      </c>
      <c r="D33" s="23">
        <f>D25+D29</f>
        <v>3094926479.6800013</v>
      </c>
    </row>
    <row r="34" spans="1:4" ht="15">
      <c r="A34" s="30"/>
      <c r="B34" s="30"/>
      <c r="C34" s="30"/>
      <c r="D34" s="30"/>
    </row>
    <row r="35" spans="1:4" ht="15">
      <c r="A35" s="61"/>
      <c r="B35" s="32"/>
      <c r="C35" s="32"/>
      <c r="D35" s="32"/>
    </row>
    <row r="36" spans="1:4" ht="30">
      <c r="A36" s="13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0" t="s">
        <v>205</v>
      </c>
      <c r="B37" s="77">
        <f>B38+B39</f>
        <v>0</v>
      </c>
      <c r="C37" s="77">
        <f>C38+C39</f>
        <v>0</v>
      </c>
      <c r="D37" s="77">
        <f>D38+D39</f>
        <v>0</v>
      </c>
    </row>
    <row r="38" spans="1:4" ht="15">
      <c r="A38" s="18" t="s">
        <v>206</v>
      </c>
      <c r="B38" s="75">
        <v>0</v>
      </c>
      <c r="C38" s="75">
        <v>0</v>
      </c>
      <c r="D38" s="75">
        <v>0</v>
      </c>
    </row>
    <row r="39" spans="1:4" ht="15">
      <c r="A39" s="18" t="s">
        <v>207</v>
      </c>
      <c r="B39" s="75">
        <v>0</v>
      </c>
      <c r="C39" s="75">
        <v>0</v>
      </c>
      <c r="D39" s="75">
        <v>0</v>
      </c>
    </row>
    <row r="40" spans="1:4" ht="15">
      <c r="A40" s="20" t="s">
        <v>208</v>
      </c>
      <c r="B40" s="77">
        <f>B41+B42</f>
        <v>57234000</v>
      </c>
      <c r="C40" s="77">
        <f>C41+C42</f>
        <v>27590482.96</v>
      </c>
      <c r="D40" s="77">
        <f>D41+D42</f>
        <v>27590482.96</v>
      </c>
    </row>
    <row r="41" spans="1:4" ht="15">
      <c r="A41" s="18" t="s">
        <v>209</v>
      </c>
      <c r="B41" s="75">
        <f>+'Formato 6 a)'!B75</f>
        <v>57234000</v>
      </c>
      <c r="C41" s="75">
        <f>+'Formato 6 a)'!E75</f>
        <v>27590482.96</v>
      </c>
      <c r="D41" s="75">
        <f>+'Formato 6 a)'!F75</f>
        <v>27590482.96</v>
      </c>
    </row>
    <row r="42" spans="1:4" ht="15">
      <c r="A42" s="18" t="s">
        <v>210</v>
      </c>
      <c r="B42" s="75">
        <v>0</v>
      </c>
      <c r="C42" s="75">
        <v>0</v>
      </c>
      <c r="D42" s="75">
        <v>0</v>
      </c>
    </row>
    <row r="43" spans="1:4" ht="15">
      <c r="A43" s="29"/>
      <c r="B43" s="76"/>
      <c r="C43" s="76"/>
      <c r="D43" s="76"/>
    </row>
    <row r="44" spans="1:4" ht="15">
      <c r="A44" s="20" t="s">
        <v>211</v>
      </c>
      <c r="B44" s="77">
        <f>B37-B40</f>
        <v>-57234000</v>
      </c>
      <c r="C44" s="77">
        <f>C37-C40</f>
        <v>-27590482.96</v>
      </c>
      <c r="D44" s="77">
        <f>D37-D40</f>
        <v>-27590482.96</v>
      </c>
    </row>
    <row r="45" spans="1:4" ht="15">
      <c r="A45" s="47"/>
      <c r="B45" s="30"/>
      <c r="C45" s="30"/>
      <c r="D45" s="30"/>
    </row>
    <row r="46" spans="1:4" ht="15">
      <c r="A46" s="32"/>
      <c r="B46" s="32"/>
      <c r="C46" s="32"/>
      <c r="D46" s="32"/>
    </row>
    <row r="47" spans="1:4" ht="30">
      <c r="A47" s="13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38" t="s">
        <v>212</v>
      </c>
      <c r="B48" s="44">
        <f>B9</f>
        <v>12560746811</v>
      </c>
      <c r="C48" s="44">
        <f>C9</f>
        <v>8204657291.61</v>
      </c>
      <c r="D48" s="44">
        <f>D9</f>
        <v>8203814086.61</v>
      </c>
    </row>
    <row r="49" spans="1:4" ht="15">
      <c r="A49" s="40" t="s">
        <v>213</v>
      </c>
      <c r="B49" s="23">
        <f>B50-B51</f>
        <v>-57234000</v>
      </c>
      <c r="C49" s="23">
        <f>C50-C51</f>
        <v>-27590482.96</v>
      </c>
      <c r="D49" s="23">
        <f>D50-D51</f>
        <v>-27590482.96</v>
      </c>
    </row>
    <row r="50" spans="1:4" ht="15">
      <c r="A50" s="42" t="s">
        <v>206</v>
      </c>
      <c r="B50" s="75">
        <f>+B38</f>
        <v>0</v>
      </c>
      <c r="C50" s="75">
        <f>+C38</f>
        <v>0</v>
      </c>
      <c r="D50" s="75">
        <f>+D38</f>
        <v>0</v>
      </c>
    </row>
    <row r="51" spans="1:4" ht="15">
      <c r="A51" s="42" t="s">
        <v>209</v>
      </c>
      <c r="B51" s="75">
        <f>+B41</f>
        <v>57234000</v>
      </c>
      <c r="C51" s="75">
        <f>+C41</f>
        <v>27590482.96</v>
      </c>
      <c r="D51" s="75">
        <f>+D41</f>
        <v>27590482.96</v>
      </c>
    </row>
    <row r="52" spans="1:4" ht="15">
      <c r="A52" s="29"/>
      <c r="B52" s="76"/>
      <c r="C52" s="76"/>
      <c r="D52" s="76"/>
    </row>
    <row r="53" spans="1:4" ht="15">
      <c r="A53" s="18" t="s">
        <v>189</v>
      </c>
      <c r="B53" s="75">
        <f>B14</f>
        <v>12503512811</v>
      </c>
      <c r="C53" s="75">
        <f>C14</f>
        <v>5813009762.469999</v>
      </c>
      <c r="D53" s="75">
        <f>D14</f>
        <v>5806842164.469999</v>
      </c>
    </row>
    <row r="54" spans="1:4" ht="15">
      <c r="A54" s="29"/>
      <c r="B54" s="76"/>
      <c r="C54" s="76"/>
      <c r="D54" s="76"/>
    </row>
    <row r="55" spans="1:4" ht="15">
      <c r="A55" s="18" t="s">
        <v>192</v>
      </c>
      <c r="B55" s="90">
        <f>B18</f>
        <v>0</v>
      </c>
      <c r="C55" s="91">
        <f>C18</f>
        <v>293880688.81</v>
      </c>
      <c r="D55" s="91">
        <f>D18</f>
        <v>293880688.81</v>
      </c>
    </row>
    <row r="56" spans="1:4" ht="15">
      <c r="A56" s="29"/>
      <c r="B56" s="76"/>
      <c r="C56" s="76"/>
      <c r="D56" s="76"/>
    </row>
    <row r="57" spans="1:4" ht="30">
      <c r="A57" s="37" t="s">
        <v>214</v>
      </c>
      <c r="B57" s="77">
        <f>B48+B49-B53+B55</f>
        <v>0</v>
      </c>
      <c r="C57" s="77">
        <f>C48+C49-C53+C55</f>
        <v>2657937734.9900002</v>
      </c>
      <c r="D57" s="77">
        <f>D48+D49-D53+D55</f>
        <v>2663262127.9900002</v>
      </c>
    </row>
    <row r="58" spans="1:4" ht="15">
      <c r="A58" s="45"/>
      <c r="B58" s="46"/>
      <c r="C58" s="46"/>
      <c r="D58" s="46"/>
    </row>
    <row r="59" spans="1:4" ht="15">
      <c r="A59" s="37" t="s">
        <v>215</v>
      </c>
      <c r="B59" s="23">
        <f>B57-B49</f>
        <v>57234000</v>
      </c>
      <c r="C59" s="23">
        <f>C57-C49</f>
        <v>2685528217.9500003</v>
      </c>
      <c r="D59" s="23">
        <f>D57-D49</f>
        <v>2690852610.9500003</v>
      </c>
    </row>
    <row r="60" spans="1:4" ht="15">
      <c r="A60" s="30"/>
      <c r="B60" s="30"/>
      <c r="C60" s="30"/>
      <c r="D60" s="30"/>
    </row>
    <row r="61" spans="1:4" ht="15">
      <c r="A61" s="32"/>
      <c r="B61" s="32"/>
      <c r="C61" s="32"/>
      <c r="D61" s="32"/>
    </row>
    <row r="62" spans="1:4" ht="30">
      <c r="A62" s="13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38" t="s">
        <v>186</v>
      </c>
      <c r="B63" s="39">
        <f>B10</f>
        <v>12265972110</v>
      </c>
      <c r="C63" s="39">
        <f>C10</f>
        <v>6875082998.01</v>
      </c>
      <c r="D63" s="39">
        <f>D10</f>
        <v>6875082998.01</v>
      </c>
    </row>
    <row r="64" spans="1:4" ht="30">
      <c r="A64" s="40" t="s">
        <v>216</v>
      </c>
      <c r="B64" s="89">
        <f>B65-B66</f>
        <v>0</v>
      </c>
      <c r="C64" s="89">
        <f>C65-C66</f>
        <v>0</v>
      </c>
      <c r="D64" s="89">
        <f>D65-D66</f>
        <v>0</v>
      </c>
    </row>
    <row r="65" spans="1:4" ht="15">
      <c r="A65" s="42" t="s">
        <v>207</v>
      </c>
      <c r="B65" s="92">
        <f>+B39</f>
        <v>0</v>
      </c>
      <c r="C65" s="92">
        <f>+C39</f>
        <v>0</v>
      </c>
      <c r="D65" s="92">
        <f>+D39</f>
        <v>0</v>
      </c>
    </row>
    <row r="66" spans="1:4" ht="15">
      <c r="A66" s="42" t="s">
        <v>210</v>
      </c>
      <c r="B66" s="92">
        <f>+B42</f>
        <v>0</v>
      </c>
      <c r="C66" s="92">
        <f>+C42</f>
        <v>0</v>
      </c>
      <c r="D66" s="92">
        <f>+D42</f>
        <v>0</v>
      </c>
    </row>
    <row r="67" spans="1:4" ht="15">
      <c r="A67" s="29"/>
      <c r="B67" s="83"/>
      <c r="C67" s="83"/>
      <c r="D67" s="83"/>
    </row>
    <row r="68" spans="1:4" ht="15">
      <c r="A68" s="18" t="s">
        <v>217</v>
      </c>
      <c r="B68" s="92">
        <f>B15</f>
        <v>12265972110</v>
      </c>
      <c r="C68" s="92">
        <f>C15</f>
        <v>6327653608.049999</v>
      </c>
      <c r="D68" s="92">
        <f>D15</f>
        <v>6327653608.049999</v>
      </c>
    </row>
    <row r="69" spans="1:4" ht="15">
      <c r="A69" s="29"/>
      <c r="B69" s="83"/>
      <c r="C69" s="83"/>
      <c r="D69" s="83"/>
    </row>
    <row r="70" spans="1:4" ht="15">
      <c r="A70" s="18" t="s">
        <v>193</v>
      </c>
      <c r="B70" s="93">
        <f>B19</f>
        <v>0</v>
      </c>
      <c r="C70" s="94">
        <f>C19</f>
        <v>143670454.9</v>
      </c>
      <c r="D70" s="94">
        <f>D19</f>
        <v>143670454.90000004</v>
      </c>
    </row>
    <row r="71" spans="1:4" ht="15">
      <c r="A71" s="29"/>
      <c r="B71" s="83"/>
      <c r="C71" s="83"/>
      <c r="D71" s="83"/>
    </row>
    <row r="72" spans="1:4" ht="30">
      <c r="A72" s="37" t="s">
        <v>218</v>
      </c>
      <c r="B72" s="89">
        <f>B63+B64-B68+B70</f>
        <v>0</v>
      </c>
      <c r="C72" s="89">
        <f>C63+C64-C68+C70</f>
        <v>691099844.860001</v>
      </c>
      <c r="D72" s="89">
        <f>D63+D64-D68+D70</f>
        <v>691099844.8600011</v>
      </c>
    </row>
    <row r="73" spans="1:4" ht="15">
      <c r="A73" s="29"/>
      <c r="B73" s="83"/>
      <c r="C73" s="83"/>
      <c r="D73" s="83"/>
    </row>
    <row r="74" spans="1:4" ht="15">
      <c r="A74" s="37" t="s">
        <v>219</v>
      </c>
      <c r="B74" s="89">
        <f>B72-B64</f>
        <v>0</v>
      </c>
      <c r="C74" s="89">
        <f>C72-C64</f>
        <v>691099844.860001</v>
      </c>
      <c r="D74" s="89">
        <f>D72-D64</f>
        <v>691099844.8600011</v>
      </c>
    </row>
    <row r="75" spans="1:4" ht="15">
      <c r="A75" s="30"/>
      <c r="B75" s="35"/>
      <c r="C75" s="35"/>
      <c r="D75" s="35"/>
    </row>
    <row r="76" ht="1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8:D25 B48:D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D11 B13:D13 C17:D17 B22:D22 B29:D29 B33:D33 B37:D37 B40:D40 B44 B48:D48 B50:D50 B55:D56 C63:D63 B64:D64 B68:D68 C70:D71 D72:D74 C72 B74:C74 B73 B65:D66 C9:D10 B9:B10 B14:B15 C14:C15 D14:D15 B30:D30 B41:D41 B21:C21 B25:D25 B24:D24 B23:C23 D23 B58:D58 D44 C57:D57 C49:D49 C59:D59 B52:D53 C51:D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22">
      <pane xSplit="1" topLeftCell="B1" activePane="topRight" state="frozen"/>
      <selection pane="topLeft" activeCell="A1" sqref="A1"/>
      <selection pane="topRight" activeCell="D38" sqref="D38:D39"/>
    </sheetView>
  </sheetViews>
  <sheetFormatPr defaultColWidth="1.1484375" defaultRowHeight="15" zeroHeight="1"/>
  <cols>
    <col min="1" max="1" width="91.00390625" style="0" customWidth="1"/>
    <col min="2" max="7" width="20.7109375" style="0" customWidth="1"/>
    <col min="8" max="255" width="11.421875" style="0" hidden="1" customWidth="1"/>
  </cols>
  <sheetData>
    <row r="1" spans="1:7" ht="21">
      <c r="A1" s="165" t="s">
        <v>220</v>
      </c>
      <c r="B1" s="165"/>
      <c r="C1" s="165"/>
      <c r="D1" s="165"/>
      <c r="E1" s="165"/>
      <c r="F1" s="165"/>
      <c r="G1" s="165"/>
    </row>
    <row r="2" spans="1:7" ht="15">
      <c r="A2" s="146" t="s">
        <v>289</v>
      </c>
      <c r="B2" s="147"/>
      <c r="C2" s="147"/>
      <c r="D2" s="147"/>
      <c r="E2" s="147"/>
      <c r="F2" s="147"/>
      <c r="G2" s="148"/>
    </row>
    <row r="3" spans="1:7" ht="15">
      <c r="A3" s="149" t="s">
        <v>221</v>
      </c>
      <c r="B3" s="150"/>
      <c r="C3" s="150"/>
      <c r="D3" s="150"/>
      <c r="E3" s="150"/>
      <c r="F3" s="150"/>
      <c r="G3" s="151"/>
    </row>
    <row r="4" spans="1:7" ht="15">
      <c r="A4" s="152" t="s">
        <v>478</v>
      </c>
      <c r="B4" s="153"/>
      <c r="C4" s="153"/>
      <c r="D4" s="153"/>
      <c r="E4" s="153"/>
      <c r="F4" s="153"/>
      <c r="G4" s="154"/>
    </row>
    <row r="5" spans="1:7" ht="15">
      <c r="A5" s="155" t="s">
        <v>2</v>
      </c>
      <c r="B5" s="156"/>
      <c r="C5" s="156"/>
      <c r="D5" s="156"/>
      <c r="E5" s="156"/>
      <c r="F5" s="156"/>
      <c r="G5" s="157"/>
    </row>
    <row r="6" spans="1:7" ht="15">
      <c r="A6" s="162" t="s">
        <v>222</v>
      </c>
      <c r="B6" s="164" t="s">
        <v>223</v>
      </c>
      <c r="C6" s="164"/>
      <c r="D6" s="164"/>
      <c r="E6" s="164"/>
      <c r="F6" s="164"/>
      <c r="G6" s="164" t="s">
        <v>224</v>
      </c>
    </row>
    <row r="7" spans="1:7" ht="30">
      <c r="A7" s="163"/>
      <c r="B7" s="17" t="s">
        <v>225</v>
      </c>
      <c r="C7" s="6" t="s">
        <v>226</v>
      </c>
      <c r="D7" s="17" t="s">
        <v>227</v>
      </c>
      <c r="E7" s="17" t="s">
        <v>182</v>
      </c>
      <c r="F7" s="17" t="s">
        <v>228</v>
      </c>
      <c r="G7" s="164"/>
    </row>
    <row r="8" spans="1:7" ht="15">
      <c r="A8" s="132" t="s">
        <v>229</v>
      </c>
      <c r="B8" s="34"/>
      <c r="C8" s="34"/>
      <c r="D8" s="34"/>
      <c r="E8" s="34"/>
      <c r="F8" s="34"/>
      <c r="G8" s="34"/>
    </row>
    <row r="9" spans="1:7" ht="15">
      <c r="A9" s="20" t="s">
        <v>230</v>
      </c>
      <c r="B9" s="77">
        <v>1750471994</v>
      </c>
      <c r="C9" s="77">
        <v>0</v>
      </c>
      <c r="D9" s="118">
        <f>+B9+C9</f>
        <v>1750471994</v>
      </c>
      <c r="E9" s="77">
        <v>1265940450</v>
      </c>
      <c r="F9" s="77">
        <v>1265863618</v>
      </c>
      <c r="G9" s="77">
        <f>+F9-B9</f>
        <v>-484608376</v>
      </c>
    </row>
    <row r="10" spans="1:7" ht="15">
      <c r="A10" s="20" t="s">
        <v>231</v>
      </c>
      <c r="B10" s="77">
        <v>0</v>
      </c>
      <c r="C10" s="77">
        <v>0</v>
      </c>
      <c r="D10" s="118">
        <f aca="true" t="shared" si="0" ref="D10:D39">+B10+C10</f>
        <v>0</v>
      </c>
      <c r="E10" s="77">
        <v>0</v>
      </c>
      <c r="F10" s="77">
        <v>0</v>
      </c>
      <c r="G10" s="77">
        <f aca="true" t="shared" si="1" ref="G10:G15">+F10-B10</f>
        <v>0</v>
      </c>
    </row>
    <row r="11" spans="1:7" ht="15">
      <c r="A11" s="20" t="s">
        <v>232</v>
      </c>
      <c r="B11" s="77">
        <v>0</v>
      </c>
      <c r="C11" s="77">
        <v>0</v>
      </c>
      <c r="D11" s="118">
        <f t="shared" si="0"/>
        <v>0</v>
      </c>
      <c r="E11" s="77">
        <v>0</v>
      </c>
      <c r="F11" s="77">
        <v>0</v>
      </c>
      <c r="G11" s="77">
        <f t="shared" si="1"/>
        <v>0</v>
      </c>
    </row>
    <row r="12" spans="1:7" ht="15">
      <c r="A12" s="20" t="s">
        <v>233</v>
      </c>
      <c r="B12" s="77">
        <v>791391704</v>
      </c>
      <c r="C12" s="77">
        <v>0</v>
      </c>
      <c r="D12" s="118">
        <f t="shared" si="0"/>
        <v>791391704</v>
      </c>
      <c r="E12" s="77">
        <v>522529476.55</v>
      </c>
      <c r="F12" s="77">
        <v>522525435.55</v>
      </c>
      <c r="G12" s="77">
        <f t="shared" si="1"/>
        <v>-268866268.45</v>
      </c>
    </row>
    <row r="13" spans="1:7" ht="15">
      <c r="A13" s="20" t="s">
        <v>234</v>
      </c>
      <c r="B13" s="77">
        <v>33730134</v>
      </c>
      <c r="C13" s="77">
        <v>185646642</v>
      </c>
      <c r="D13" s="118">
        <f t="shared" si="0"/>
        <v>219376776</v>
      </c>
      <c r="E13" s="77">
        <v>219376081.89000002</v>
      </c>
      <c r="F13" s="77">
        <v>219376081.89000002</v>
      </c>
      <c r="G13" s="77">
        <f t="shared" si="1"/>
        <v>185645947.89000002</v>
      </c>
    </row>
    <row r="14" spans="1:7" ht="15">
      <c r="A14" s="20" t="s">
        <v>235</v>
      </c>
      <c r="B14" s="77">
        <v>13133348</v>
      </c>
      <c r="C14" s="77">
        <v>67232105</v>
      </c>
      <c r="D14" s="118">
        <f t="shared" si="0"/>
        <v>80365453</v>
      </c>
      <c r="E14" s="77">
        <v>80355351.31</v>
      </c>
      <c r="F14" s="77">
        <v>80167343.31</v>
      </c>
      <c r="G14" s="77">
        <f t="shared" si="1"/>
        <v>67033995.31</v>
      </c>
    </row>
    <row r="15" spans="1:7" ht="15">
      <c r="A15" s="20" t="s">
        <v>236</v>
      </c>
      <c r="B15" s="77">
        <v>0</v>
      </c>
      <c r="C15" s="77">
        <v>0</v>
      </c>
      <c r="D15" s="118">
        <f t="shared" si="0"/>
        <v>0</v>
      </c>
      <c r="E15" s="77">
        <v>0</v>
      </c>
      <c r="F15" s="77">
        <v>0</v>
      </c>
      <c r="G15" s="77">
        <f t="shared" si="1"/>
        <v>0</v>
      </c>
    </row>
    <row r="16" spans="1:7" ht="15">
      <c r="A16" s="22" t="s">
        <v>237</v>
      </c>
      <c r="B16" s="77">
        <f>SUM(B17:B27)</f>
        <v>9813611800</v>
      </c>
      <c r="C16" s="118">
        <f>SUM(C17:C27)</f>
        <v>1211654242</v>
      </c>
      <c r="D16" s="118">
        <f t="shared" si="0"/>
        <v>11025266042</v>
      </c>
      <c r="E16" s="118">
        <f>SUM(E17:E27)</f>
        <v>6023183664</v>
      </c>
      <c r="F16" s="77">
        <f>SUM(F17:F27)</f>
        <v>6023183664</v>
      </c>
      <c r="G16" s="77">
        <f>SUM(G17:G27)</f>
        <v>-3790428136</v>
      </c>
    </row>
    <row r="17" spans="1:7" ht="15">
      <c r="A17" s="68" t="s">
        <v>238</v>
      </c>
      <c r="B17" s="75">
        <v>5819779636</v>
      </c>
      <c r="C17" s="75">
        <v>952420731</v>
      </c>
      <c r="D17" s="119">
        <f>+B17+C17</f>
        <v>6772200367</v>
      </c>
      <c r="E17" s="75">
        <v>3969310496</v>
      </c>
      <c r="F17" s="75">
        <v>3969310496</v>
      </c>
      <c r="G17" s="75">
        <f>+F17-B17</f>
        <v>-1850469140</v>
      </c>
    </row>
    <row r="18" spans="1:7" ht="15">
      <c r="A18" s="68" t="s">
        <v>239</v>
      </c>
      <c r="B18" s="75">
        <v>451385298</v>
      </c>
      <c r="C18" s="75">
        <v>-3525524</v>
      </c>
      <c r="D18" s="119">
        <f t="shared" si="0"/>
        <v>447859774</v>
      </c>
      <c r="E18" s="75">
        <v>222071654</v>
      </c>
      <c r="F18" s="75">
        <v>222071654</v>
      </c>
      <c r="G18" s="75">
        <f aca="true" t="shared" si="2" ref="G18:G33">+F18-B18</f>
        <v>-229313644</v>
      </c>
    </row>
    <row r="19" spans="1:7" ht="15">
      <c r="A19" s="68" t="s">
        <v>240</v>
      </c>
      <c r="B19" s="75">
        <v>298313795</v>
      </c>
      <c r="C19" s="75">
        <v>-823217</v>
      </c>
      <c r="D19" s="119">
        <f t="shared" si="0"/>
        <v>297490578</v>
      </c>
      <c r="E19" s="75">
        <v>137798521</v>
      </c>
      <c r="F19" s="75">
        <v>137798521</v>
      </c>
      <c r="G19" s="75">
        <f t="shared" si="2"/>
        <v>-160515274</v>
      </c>
    </row>
    <row r="20" spans="1:7" ht="15">
      <c r="A20" s="68" t="s">
        <v>241</v>
      </c>
      <c r="B20" s="75">
        <v>0</v>
      </c>
      <c r="C20" s="75">
        <v>0</v>
      </c>
      <c r="D20" s="119">
        <f t="shared" si="0"/>
        <v>0</v>
      </c>
      <c r="E20" s="75">
        <v>0</v>
      </c>
      <c r="F20" s="75">
        <v>0</v>
      </c>
      <c r="G20" s="75">
        <f t="shared" si="2"/>
        <v>0</v>
      </c>
    </row>
    <row r="21" spans="1:7" ht="15">
      <c r="A21" s="68" t="s">
        <v>242</v>
      </c>
      <c r="B21" s="75">
        <v>2292321562</v>
      </c>
      <c r="C21" s="75">
        <v>-1</v>
      </c>
      <c r="D21" s="119">
        <f t="shared" si="0"/>
        <v>2292321561</v>
      </c>
      <c r="E21" s="75">
        <v>1194755224</v>
      </c>
      <c r="F21" s="75">
        <v>1194755224</v>
      </c>
      <c r="G21" s="75">
        <f t="shared" si="2"/>
        <v>-1097566338</v>
      </c>
    </row>
    <row r="22" spans="1:7" ht="15">
      <c r="A22" s="68" t="s">
        <v>243</v>
      </c>
      <c r="B22" s="75">
        <v>50770583</v>
      </c>
      <c r="C22" s="75">
        <v>-179403</v>
      </c>
      <c r="D22" s="119">
        <f t="shared" si="0"/>
        <v>50591180</v>
      </c>
      <c r="E22" s="75">
        <v>25070549</v>
      </c>
      <c r="F22" s="75">
        <v>25070549</v>
      </c>
      <c r="G22" s="75">
        <f t="shared" si="2"/>
        <v>-25700034</v>
      </c>
    </row>
    <row r="23" spans="1:7" ht="15">
      <c r="A23" s="68" t="s">
        <v>244</v>
      </c>
      <c r="B23" s="75">
        <v>0</v>
      </c>
      <c r="C23" s="75">
        <v>0</v>
      </c>
      <c r="D23" s="119">
        <f>+B23+C23</f>
        <v>0</v>
      </c>
      <c r="E23" s="75">
        <v>0</v>
      </c>
      <c r="F23" s="75">
        <v>0</v>
      </c>
      <c r="G23" s="75">
        <f t="shared" si="2"/>
        <v>0</v>
      </c>
    </row>
    <row r="24" spans="1:7" ht="15">
      <c r="A24" s="68" t="s">
        <v>245</v>
      </c>
      <c r="B24" s="75">
        <v>0</v>
      </c>
      <c r="C24" s="75">
        <v>0</v>
      </c>
      <c r="D24" s="119">
        <f t="shared" si="0"/>
        <v>0</v>
      </c>
      <c r="E24" s="75">
        <v>0</v>
      </c>
      <c r="F24" s="75">
        <v>0</v>
      </c>
      <c r="G24" s="75">
        <f t="shared" si="2"/>
        <v>0</v>
      </c>
    </row>
    <row r="25" spans="1:7" ht="15">
      <c r="A25" s="68" t="s">
        <v>246</v>
      </c>
      <c r="B25" s="75">
        <v>236313959</v>
      </c>
      <c r="C25" s="75">
        <v>1</v>
      </c>
      <c r="D25" s="119">
        <f t="shared" si="0"/>
        <v>236313960</v>
      </c>
      <c r="E25" s="75">
        <v>95408845</v>
      </c>
      <c r="F25" s="75">
        <v>95408845</v>
      </c>
      <c r="G25" s="75">
        <f t="shared" si="2"/>
        <v>-140905114</v>
      </c>
    </row>
    <row r="26" spans="1:7" ht="15">
      <c r="A26" s="68" t="s">
        <v>247</v>
      </c>
      <c r="B26" s="75">
        <v>664726967</v>
      </c>
      <c r="C26" s="75">
        <v>263472400</v>
      </c>
      <c r="D26" s="119">
        <f t="shared" si="0"/>
        <v>928199367</v>
      </c>
      <c r="E26" s="75">
        <v>378479120</v>
      </c>
      <c r="F26" s="75">
        <v>378479120</v>
      </c>
      <c r="G26" s="75">
        <f t="shared" si="2"/>
        <v>-286247847</v>
      </c>
    </row>
    <row r="27" spans="1:7" ht="15">
      <c r="A27" s="68" t="s">
        <v>248</v>
      </c>
      <c r="B27" s="75">
        <v>0</v>
      </c>
      <c r="C27" s="75">
        <v>289255</v>
      </c>
      <c r="D27" s="119">
        <f t="shared" si="0"/>
        <v>289255</v>
      </c>
      <c r="E27" s="75">
        <v>289255</v>
      </c>
      <c r="F27" s="75">
        <v>289255</v>
      </c>
      <c r="G27" s="75">
        <f t="shared" si="2"/>
        <v>289255</v>
      </c>
    </row>
    <row r="28" spans="1:7" ht="15">
      <c r="A28" s="20" t="s">
        <v>249</v>
      </c>
      <c r="B28" s="77">
        <f>SUM(B29:B33)</f>
        <v>158407831</v>
      </c>
      <c r="C28" s="77">
        <f>SUM(C29:C33)</f>
        <v>6441360</v>
      </c>
      <c r="D28" s="118">
        <f t="shared" si="0"/>
        <v>164849191</v>
      </c>
      <c r="E28" s="118">
        <f>SUM(E29:E33)</f>
        <v>92844230.86</v>
      </c>
      <c r="F28" s="77">
        <f>SUM(F29:F33)</f>
        <v>92269906.86</v>
      </c>
      <c r="G28" s="77">
        <f>SUM(G29:G33)</f>
        <v>-66137924.14</v>
      </c>
    </row>
    <row r="29" spans="1:7" ht="15">
      <c r="A29" s="68" t="s">
        <v>250</v>
      </c>
      <c r="B29" s="75">
        <v>0</v>
      </c>
      <c r="C29" s="75">
        <v>0</v>
      </c>
      <c r="D29" s="119">
        <f t="shared" si="0"/>
        <v>0</v>
      </c>
      <c r="E29" s="75">
        <v>0</v>
      </c>
      <c r="F29" s="75">
        <v>0</v>
      </c>
      <c r="G29" s="75">
        <f t="shared" si="2"/>
        <v>0</v>
      </c>
    </row>
    <row r="30" spans="1:7" ht="15">
      <c r="A30" s="68" t="s">
        <v>251</v>
      </c>
      <c r="B30" s="75">
        <v>16113728</v>
      </c>
      <c r="C30" s="75">
        <v>4</v>
      </c>
      <c r="D30" s="119">
        <f t="shared" si="0"/>
        <v>16113732</v>
      </c>
      <c r="E30" s="75">
        <v>8056866</v>
      </c>
      <c r="F30" s="75">
        <v>8056866</v>
      </c>
      <c r="G30" s="75">
        <f t="shared" si="2"/>
        <v>-8056862</v>
      </c>
    </row>
    <row r="31" spans="1:7" ht="15">
      <c r="A31" s="68" t="s">
        <v>252</v>
      </c>
      <c r="B31" s="75">
        <v>69654075</v>
      </c>
      <c r="C31" s="75">
        <v>6441356</v>
      </c>
      <c r="D31" s="119">
        <f t="shared" si="0"/>
        <v>76095431</v>
      </c>
      <c r="E31" s="75">
        <v>47085465</v>
      </c>
      <c r="F31" s="75">
        <v>47085465</v>
      </c>
      <c r="G31" s="75">
        <f t="shared" si="2"/>
        <v>-22568610</v>
      </c>
    </row>
    <row r="32" spans="1:7" ht="15">
      <c r="A32" s="68" t="s">
        <v>253</v>
      </c>
      <c r="B32" s="75">
        <v>9693792</v>
      </c>
      <c r="C32" s="75">
        <v>0</v>
      </c>
      <c r="D32" s="119">
        <f t="shared" si="0"/>
        <v>9693792</v>
      </c>
      <c r="E32" s="75">
        <v>4882339</v>
      </c>
      <c r="F32" s="75">
        <v>4882339</v>
      </c>
      <c r="G32" s="75">
        <f t="shared" si="2"/>
        <v>-4811453</v>
      </c>
    </row>
    <row r="33" spans="1:7" ht="15">
      <c r="A33" s="68" t="s">
        <v>254</v>
      </c>
      <c r="B33" s="75">
        <v>62946236</v>
      </c>
      <c r="C33" s="75">
        <v>0</v>
      </c>
      <c r="D33" s="119">
        <f t="shared" si="0"/>
        <v>62946236</v>
      </c>
      <c r="E33" s="75">
        <v>32819560.86</v>
      </c>
      <c r="F33" s="75">
        <v>32245236.86</v>
      </c>
      <c r="G33" s="75">
        <f t="shared" si="2"/>
        <v>-30700999.14</v>
      </c>
    </row>
    <row r="34" spans="1:7" ht="15">
      <c r="A34" s="20" t="s">
        <v>469</v>
      </c>
      <c r="B34" s="77">
        <v>0</v>
      </c>
      <c r="C34" s="77">
        <v>0</v>
      </c>
      <c r="D34" s="119">
        <f t="shared" si="0"/>
        <v>0</v>
      </c>
      <c r="E34" s="77">
        <v>0</v>
      </c>
      <c r="F34" s="77">
        <v>0</v>
      </c>
      <c r="G34" s="77">
        <f>F34-B34</f>
        <v>0</v>
      </c>
    </row>
    <row r="35" spans="1:7" ht="15">
      <c r="A35" s="20" t="s">
        <v>255</v>
      </c>
      <c r="B35" s="77">
        <v>0</v>
      </c>
      <c r="C35" s="118">
        <f>+C36</f>
        <v>428037</v>
      </c>
      <c r="D35" s="118">
        <f t="shared" si="0"/>
        <v>428037</v>
      </c>
      <c r="E35" s="118">
        <f>+E36</f>
        <v>428037</v>
      </c>
      <c r="F35" s="118">
        <f>+F36</f>
        <v>428037</v>
      </c>
      <c r="G35" s="77">
        <f>G36</f>
        <v>428037</v>
      </c>
    </row>
    <row r="36" spans="1:7" ht="15">
      <c r="A36" s="68" t="s">
        <v>256</v>
      </c>
      <c r="B36" s="75">
        <v>0</v>
      </c>
      <c r="C36" s="75">
        <v>428037</v>
      </c>
      <c r="D36" s="119">
        <f t="shared" si="0"/>
        <v>428037</v>
      </c>
      <c r="E36" s="75">
        <v>428037</v>
      </c>
      <c r="F36" s="75">
        <v>428037</v>
      </c>
      <c r="G36" s="75">
        <f>+F36-B36</f>
        <v>428037</v>
      </c>
    </row>
    <row r="37" spans="1:7" ht="15">
      <c r="A37" s="20" t="s">
        <v>257</v>
      </c>
      <c r="B37" s="77">
        <v>0</v>
      </c>
      <c r="C37" s="77">
        <v>0</v>
      </c>
      <c r="D37" s="118">
        <f t="shared" si="0"/>
        <v>0</v>
      </c>
      <c r="E37" s="77">
        <v>0</v>
      </c>
      <c r="F37" s="77">
        <v>0</v>
      </c>
      <c r="G37" s="77">
        <f>G38+G39</f>
        <v>0</v>
      </c>
    </row>
    <row r="38" spans="1:7" ht="15">
      <c r="A38" s="68" t="s">
        <v>258</v>
      </c>
      <c r="B38" s="75">
        <v>0</v>
      </c>
      <c r="C38" s="75">
        <v>0</v>
      </c>
      <c r="D38" s="119">
        <f t="shared" si="0"/>
        <v>0</v>
      </c>
      <c r="E38" s="75">
        <v>0</v>
      </c>
      <c r="F38" s="75">
        <v>0</v>
      </c>
      <c r="G38" s="75">
        <f>+F38-B38</f>
        <v>0</v>
      </c>
    </row>
    <row r="39" spans="1:7" ht="15">
      <c r="A39" s="68" t="s">
        <v>259</v>
      </c>
      <c r="B39" s="75">
        <v>0</v>
      </c>
      <c r="C39" s="75">
        <v>0</v>
      </c>
      <c r="D39" s="119">
        <f t="shared" si="0"/>
        <v>0</v>
      </c>
      <c r="E39" s="75">
        <v>0</v>
      </c>
      <c r="F39" s="75">
        <v>0</v>
      </c>
      <c r="G39" s="75">
        <f>+F39-B39</f>
        <v>0</v>
      </c>
    </row>
    <row r="40" spans="1:7" ht="15">
      <c r="A40" s="29"/>
      <c r="B40" s="75"/>
      <c r="C40" s="75"/>
      <c r="D40" s="75"/>
      <c r="E40" s="75"/>
      <c r="F40" s="75"/>
      <c r="G40" s="75"/>
    </row>
    <row r="41" spans="1:7" ht="15">
      <c r="A41" s="130" t="s">
        <v>260</v>
      </c>
      <c r="B41" s="77">
        <f aca="true" t="shared" si="3" ref="B41:G41">SUM(B9,B10,B11,B12,B13,B14,B15,B16,B28,B34,B35,B37)</f>
        <v>12560746811</v>
      </c>
      <c r="C41" s="77">
        <f>SUM(C9,C10,C11,C12,C13,C14,C15,C16,C28,C34,C35,C37)</f>
        <v>1471402386</v>
      </c>
      <c r="D41" s="77">
        <f t="shared" si="3"/>
        <v>14032149197</v>
      </c>
      <c r="E41" s="77">
        <f>SUM(E9,E10,E11,E12,E13,E14,E15,E16,E28,E34,E35,E37)</f>
        <v>8204657291.61</v>
      </c>
      <c r="F41" s="77">
        <f t="shared" si="3"/>
        <v>8203814086.61</v>
      </c>
      <c r="G41" s="77">
        <f t="shared" si="3"/>
        <v>-4356932724.39</v>
      </c>
    </row>
    <row r="42" spans="1:7" ht="15">
      <c r="A42" s="130" t="s">
        <v>261</v>
      </c>
      <c r="B42" s="88"/>
      <c r="C42" s="88"/>
      <c r="D42" s="88"/>
      <c r="E42" s="88"/>
      <c r="F42" s="88"/>
      <c r="G42" s="84">
        <f>IF(G41&gt;0,G41,0)</f>
        <v>0</v>
      </c>
    </row>
    <row r="43" spans="1:7" ht="15">
      <c r="A43" s="29"/>
      <c r="B43" s="76"/>
      <c r="C43" s="76"/>
      <c r="D43" s="76"/>
      <c r="E43" s="76"/>
      <c r="F43" s="76"/>
      <c r="G43" s="76"/>
    </row>
    <row r="44" spans="1:7" ht="15">
      <c r="A44" s="130" t="s">
        <v>262</v>
      </c>
      <c r="B44" s="76"/>
      <c r="C44" s="76"/>
      <c r="D44" s="76"/>
      <c r="E44" s="76"/>
      <c r="F44" s="76"/>
      <c r="G44" s="76"/>
    </row>
    <row r="45" spans="1:7" ht="15">
      <c r="A45" s="54" t="s">
        <v>263</v>
      </c>
      <c r="B45" s="118">
        <f>SUM(B46:B53)</f>
        <v>10625161041</v>
      </c>
      <c r="C45" s="118">
        <f>SUM(C46:C53)</f>
        <v>413127262</v>
      </c>
      <c r="D45" s="77">
        <f>SUM(D46:D53)</f>
        <v>11038288303</v>
      </c>
      <c r="E45" s="77">
        <f>SUM(E46:E53)</f>
        <v>5421186662.280001</v>
      </c>
      <c r="F45" s="77">
        <f>SUM(F46:F53)</f>
        <v>5421186662.280001</v>
      </c>
      <c r="G45" s="118">
        <f>+F45-B45</f>
        <v>-5203974378.719999</v>
      </c>
    </row>
    <row r="46" spans="1:7" ht="15">
      <c r="A46" s="134" t="s">
        <v>264</v>
      </c>
      <c r="B46" s="75">
        <v>5149618919</v>
      </c>
      <c r="C46" s="75">
        <v>0</v>
      </c>
      <c r="D46" s="75">
        <f>+B46+C46</f>
        <v>5149618919</v>
      </c>
      <c r="E46" s="75">
        <v>2382397987.5000005</v>
      </c>
      <c r="F46" s="75">
        <v>2382397987.5000005</v>
      </c>
      <c r="G46" s="118">
        <f aca="true" t="shared" si="4" ref="G46:G75">+F46-B46</f>
        <v>-2767220931.4999995</v>
      </c>
    </row>
    <row r="47" spans="1:7" ht="15">
      <c r="A47" s="134" t="s">
        <v>265</v>
      </c>
      <c r="B47" s="75">
        <v>2060930170</v>
      </c>
      <c r="C47" s="75">
        <v>0</v>
      </c>
      <c r="D47" s="115">
        <f aca="true" t="shared" si="5" ref="D47:D58">+B47+C47</f>
        <v>2060930170</v>
      </c>
      <c r="E47" s="75">
        <v>963807955.78</v>
      </c>
      <c r="F47" s="75">
        <v>963807955.78</v>
      </c>
      <c r="G47" s="77">
        <f t="shared" si="4"/>
        <v>-1097122214.22</v>
      </c>
    </row>
    <row r="48" spans="1:7" ht="15">
      <c r="A48" s="134" t="s">
        <v>266</v>
      </c>
      <c r="B48" s="75">
        <v>1401841668</v>
      </c>
      <c r="C48" s="75">
        <v>0</v>
      </c>
      <c r="D48" s="115">
        <f t="shared" si="5"/>
        <v>1401841668</v>
      </c>
      <c r="E48" s="75">
        <v>841105002</v>
      </c>
      <c r="F48" s="75">
        <v>841105002</v>
      </c>
      <c r="G48" s="77">
        <f t="shared" si="4"/>
        <v>-560736666</v>
      </c>
    </row>
    <row r="49" spans="1:7" ht="30">
      <c r="A49" s="134" t="s">
        <v>267</v>
      </c>
      <c r="B49" s="75">
        <v>829263920</v>
      </c>
      <c r="C49" s="75">
        <v>-4316388</v>
      </c>
      <c r="D49" s="115">
        <f t="shared" si="5"/>
        <v>824947532</v>
      </c>
      <c r="E49" s="75">
        <v>412473768</v>
      </c>
      <c r="F49" s="75">
        <v>412473768</v>
      </c>
      <c r="G49" s="77">
        <f t="shared" si="4"/>
        <v>-416790152</v>
      </c>
    </row>
    <row r="50" spans="1:7" ht="15">
      <c r="A50" s="134" t="s">
        <v>268</v>
      </c>
      <c r="B50" s="75">
        <v>552507802</v>
      </c>
      <c r="C50" s="75">
        <v>393256383</v>
      </c>
      <c r="D50" s="115">
        <f t="shared" si="5"/>
        <v>945764185</v>
      </c>
      <c r="E50" s="75">
        <v>472882088</v>
      </c>
      <c r="F50" s="75">
        <v>472882088</v>
      </c>
      <c r="G50" s="77">
        <f t="shared" si="4"/>
        <v>-79625714</v>
      </c>
    </row>
    <row r="51" spans="1:7" ht="15">
      <c r="A51" s="134" t="s">
        <v>269</v>
      </c>
      <c r="B51" s="75">
        <v>128844804</v>
      </c>
      <c r="C51" s="75">
        <v>0</v>
      </c>
      <c r="D51" s="115">
        <f t="shared" si="5"/>
        <v>128844804</v>
      </c>
      <c r="E51" s="75">
        <v>63774747</v>
      </c>
      <c r="F51" s="75">
        <v>63774747</v>
      </c>
      <c r="G51" s="77">
        <f t="shared" si="4"/>
        <v>-65070057</v>
      </c>
    </row>
    <row r="52" spans="1:7" ht="29.25" customHeight="1">
      <c r="A52" s="135" t="s">
        <v>270</v>
      </c>
      <c r="B52" s="75">
        <v>196132775</v>
      </c>
      <c r="C52" s="75">
        <v>19613278</v>
      </c>
      <c r="D52" s="115">
        <f t="shared" si="5"/>
        <v>215746053</v>
      </c>
      <c r="E52" s="75">
        <v>129447630</v>
      </c>
      <c r="F52" s="75">
        <v>129447630</v>
      </c>
      <c r="G52" s="77">
        <f t="shared" si="4"/>
        <v>-66685145</v>
      </c>
    </row>
    <row r="53" spans="1:7" ht="27.75" customHeight="1">
      <c r="A53" s="134" t="s">
        <v>271</v>
      </c>
      <c r="B53" s="75">
        <v>306020983</v>
      </c>
      <c r="C53" s="75">
        <v>4573989</v>
      </c>
      <c r="D53" s="115">
        <f t="shared" si="5"/>
        <v>310594972</v>
      </c>
      <c r="E53" s="75">
        <v>155297484</v>
      </c>
      <c r="F53" s="75">
        <v>155297484</v>
      </c>
      <c r="G53" s="77">
        <f t="shared" si="4"/>
        <v>-150723499</v>
      </c>
    </row>
    <row r="54" spans="1:7" ht="15">
      <c r="A54" s="54" t="s">
        <v>272</v>
      </c>
      <c r="B54" s="118">
        <f>SUM(B55:B58)</f>
        <v>1150471624</v>
      </c>
      <c r="C54" s="118">
        <f>SUM(C55:C58)</f>
        <v>893540491.4</v>
      </c>
      <c r="D54" s="77">
        <f>+B54+C54</f>
        <v>2044012115.4</v>
      </c>
      <c r="E54" s="77">
        <f>SUM(E55:E58)</f>
        <v>1173045972.73</v>
      </c>
      <c r="F54" s="77">
        <f>SUM(F55:F58)</f>
        <v>1173045972.73</v>
      </c>
      <c r="G54" s="77">
        <f t="shared" si="4"/>
        <v>22574348.73000002</v>
      </c>
    </row>
    <row r="55" spans="1:7" ht="15">
      <c r="A55" s="135" t="s">
        <v>273</v>
      </c>
      <c r="B55" s="75">
        <v>0</v>
      </c>
      <c r="C55" s="75">
        <v>0</v>
      </c>
      <c r="D55" s="115">
        <f t="shared" si="5"/>
        <v>0</v>
      </c>
      <c r="E55" s="75">
        <v>0</v>
      </c>
      <c r="F55" s="75">
        <v>0</v>
      </c>
      <c r="G55" s="77">
        <f t="shared" si="4"/>
        <v>0</v>
      </c>
    </row>
    <row r="56" spans="1:7" ht="15">
      <c r="A56" s="134" t="s">
        <v>274</v>
      </c>
      <c r="B56" s="75">
        <v>1150471624</v>
      </c>
      <c r="C56" s="75">
        <v>891531491.4</v>
      </c>
      <c r="D56" s="115">
        <f t="shared" si="5"/>
        <v>2042003115.4</v>
      </c>
      <c r="E56" s="75">
        <v>1171036972.73</v>
      </c>
      <c r="F56" s="75">
        <v>1171036972.73</v>
      </c>
      <c r="G56" s="77">
        <f t="shared" si="4"/>
        <v>20565348.73000002</v>
      </c>
    </row>
    <row r="57" spans="1:7" ht="15">
      <c r="A57" s="134" t="s">
        <v>275</v>
      </c>
      <c r="B57" s="75">
        <v>0</v>
      </c>
      <c r="C57" s="75">
        <v>0</v>
      </c>
      <c r="D57" s="115">
        <f t="shared" si="5"/>
        <v>0</v>
      </c>
      <c r="E57" s="75">
        <v>0</v>
      </c>
      <c r="F57" s="75">
        <v>0</v>
      </c>
      <c r="G57" s="77">
        <f t="shared" si="4"/>
        <v>0</v>
      </c>
    </row>
    <row r="58" spans="1:7" ht="15">
      <c r="A58" s="135" t="s">
        <v>276</v>
      </c>
      <c r="B58" s="75">
        <v>0</v>
      </c>
      <c r="C58" s="75">
        <v>2009000</v>
      </c>
      <c r="D58" s="115">
        <f t="shared" si="5"/>
        <v>2009000</v>
      </c>
      <c r="E58" s="75">
        <v>2009000</v>
      </c>
      <c r="F58" s="75">
        <v>2009000</v>
      </c>
      <c r="G58" s="77">
        <f t="shared" si="4"/>
        <v>2009000</v>
      </c>
    </row>
    <row r="59" spans="1:7" ht="15">
      <c r="A59" s="54" t="s">
        <v>277</v>
      </c>
      <c r="B59" s="77">
        <f>SUM(B60:B61)</f>
        <v>490339445</v>
      </c>
      <c r="C59" s="77">
        <f>SUM(C60:C61)</f>
        <v>0</v>
      </c>
      <c r="D59" s="77">
        <f>SUM(D60:D61)</f>
        <v>490339445</v>
      </c>
      <c r="E59" s="77">
        <f>SUM(E60:E61)</f>
        <v>280850363</v>
      </c>
      <c r="F59" s="77">
        <f>+F60+F61</f>
        <v>280850363</v>
      </c>
      <c r="G59" s="77">
        <f t="shared" si="4"/>
        <v>-209489082</v>
      </c>
    </row>
    <row r="60" spans="1:7" ht="15">
      <c r="A60" s="134" t="s">
        <v>278</v>
      </c>
      <c r="B60" s="75">
        <v>490339445</v>
      </c>
      <c r="C60" s="75">
        <v>0</v>
      </c>
      <c r="D60" s="75">
        <f>+B60+C60</f>
        <v>490339445</v>
      </c>
      <c r="E60" s="75">
        <v>280850363</v>
      </c>
      <c r="F60" s="75">
        <v>280850363</v>
      </c>
      <c r="G60" s="77">
        <f t="shared" si="4"/>
        <v>-209489082</v>
      </c>
    </row>
    <row r="61" spans="1:7" ht="15">
      <c r="A61" s="134" t="s">
        <v>279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7">
        <f t="shared" si="4"/>
        <v>0</v>
      </c>
    </row>
    <row r="62" spans="1:7" ht="15">
      <c r="A62" s="54" t="s">
        <v>471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f t="shared" si="4"/>
        <v>0</v>
      </c>
    </row>
    <row r="63" spans="1:7" ht="15">
      <c r="A63" s="54" t="s">
        <v>280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 t="shared" si="4"/>
        <v>0</v>
      </c>
    </row>
    <row r="64" spans="1:7" ht="15">
      <c r="A64" s="29"/>
      <c r="B64" s="76"/>
      <c r="C64" s="76">
        <v>0</v>
      </c>
      <c r="D64" s="76"/>
      <c r="E64" s="76"/>
      <c r="F64" s="76"/>
      <c r="G64" s="77"/>
    </row>
    <row r="65" spans="1:7" ht="15">
      <c r="A65" s="130" t="s">
        <v>281</v>
      </c>
      <c r="B65" s="77">
        <f>B45+B54+B59+B62+B63</f>
        <v>12265972110</v>
      </c>
      <c r="C65" s="118">
        <f>C45+C54+C59+C62+C63</f>
        <v>1306667753.4</v>
      </c>
      <c r="D65" s="77">
        <f>D45+D54+D59+D62+D63</f>
        <v>13572639863.4</v>
      </c>
      <c r="E65" s="77">
        <f>E45+E54+E59+E62+E63</f>
        <v>6875082998.01</v>
      </c>
      <c r="F65" s="77">
        <f>F45+F54+F59+F62+F63</f>
        <v>6875082998.01</v>
      </c>
      <c r="G65" s="77">
        <f>+F65-B65</f>
        <v>-5390889111.99</v>
      </c>
    </row>
    <row r="66" spans="1:7" ht="15">
      <c r="A66" s="29"/>
      <c r="B66" s="76"/>
      <c r="C66" s="76"/>
      <c r="D66" s="76"/>
      <c r="E66" s="76"/>
      <c r="F66" s="76"/>
      <c r="G66" s="77"/>
    </row>
    <row r="67" spans="1:7" ht="15">
      <c r="A67" s="130" t="s">
        <v>282</v>
      </c>
      <c r="B67" s="77">
        <f>B68</f>
        <v>0</v>
      </c>
      <c r="C67" s="77">
        <f>C68</f>
        <v>0</v>
      </c>
      <c r="D67" s="77">
        <f>D68</f>
        <v>0</v>
      </c>
      <c r="E67" s="77">
        <f>E68</f>
        <v>0</v>
      </c>
      <c r="F67" s="77">
        <f>F68</f>
        <v>0</v>
      </c>
      <c r="G67" s="77">
        <f t="shared" si="4"/>
        <v>0</v>
      </c>
    </row>
    <row r="68" spans="1:7" ht="15">
      <c r="A68" s="133" t="s">
        <v>283</v>
      </c>
      <c r="B68" s="75">
        <v>0</v>
      </c>
      <c r="C68" s="75">
        <v>0</v>
      </c>
      <c r="D68" s="75">
        <f>+B68+C68</f>
        <v>0</v>
      </c>
      <c r="E68" s="75">
        <v>0</v>
      </c>
      <c r="F68" s="75">
        <v>0</v>
      </c>
      <c r="G68" s="77">
        <f t="shared" si="4"/>
        <v>0</v>
      </c>
    </row>
    <row r="69" spans="1:7" ht="15">
      <c r="A69" s="29"/>
      <c r="B69" s="76"/>
      <c r="C69" s="76"/>
      <c r="D69" s="76"/>
      <c r="E69" s="76"/>
      <c r="F69" s="76"/>
      <c r="G69" s="77"/>
    </row>
    <row r="70" spans="1:7" ht="15">
      <c r="A70" s="130" t="s">
        <v>284</v>
      </c>
      <c r="B70" s="77">
        <f>B41+B65+B67</f>
        <v>24826718921</v>
      </c>
      <c r="C70" s="77">
        <f>C41+C65+C67</f>
        <v>2778070139.4</v>
      </c>
      <c r="D70" s="77">
        <f>D41+D65+D67</f>
        <v>27604789060.4</v>
      </c>
      <c r="E70" s="77">
        <f>E41+E65+E67</f>
        <v>15079740289.619999</v>
      </c>
      <c r="F70" s="77">
        <f>F41+F65+F67</f>
        <v>15078897084.619999</v>
      </c>
      <c r="G70" s="77">
        <f t="shared" si="4"/>
        <v>-9747821836.380001</v>
      </c>
    </row>
    <row r="71" spans="1:7" ht="15">
      <c r="A71" s="29"/>
      <c r="B71" s="76"/>
      <c r="C71" s="76"/>
      <c r="D71" s="76"/>
      <c r="E71" s="76"/>
      <c r="F71" s="76"/>
      <c r="G71" s="77">
        <f t="shared" si="4"/>
        <v>0</v>
      </c>
    </row>
    <row r="72" spans="1:7" ht="15">
      <c r="A72" s="54" t="s">
        <v>285</v>
      </c>
      <c r="B72" s="76"/>
      <c r="C72" s="76"/>
      <c r="D72" s="76"/>
      <c r="E72" s="76"/>
      <c r="F72" s="76"/>
      <c r="G72" s="77">
        <f t="shared" si="4"/>
        <v>0</v>
      </c>
    </row>
    <row r="73" spans="1:7" ht="15">
      <c r="A73" s="136" t="s">
        <v>286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7">
        <f t="shared" si="4"/>
        <v>0</v>
      </c>
    </row>
    <row r="74" spans="1:7" ht="30">
      <c r="A74" s="136" t="s">
        <v>287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7">
        <f t="shared" si="4"/>
        <v>0</v>
      </c>
    </row>
    <row r="75" spans="1:7" ht="15">
      <c r="A75" s="137" t="s">
        <v>288</v>
      </c>
      <c r="B75" s="77">
        <f>B73+B74</f>
        <v>0</v>
      </c>
      <c r="C75" s="77">
        <f>C73+C74</f>
        <v>0</v>
      </c>
      <c r="D75" s="77">
        <f>D73+D74</f>
        <v>0</v>
      </c>
      <c r="E75" s="77">
        <f>E73+E74</f>
        <v>0</v>
      </c>
      <c r="F75" s="77">
        <f>F73+F74</f>
        <v>0</v>
      </c>
      <c r="G75" s="77">
        <f t="shared" si="4"/>
        <v>0</v>
      </c>
    </row>
    <row r="76" spans="1:7" ht="15">
      <c r="A76" s="30"/>
      <c r="B76" s="35"/>
      <c r="C76" s="35"/>
      <c r="D76" s="35"/>
      <c r="E76" s="35"/>
      <c r="F76" s="35"/>
      <c r="G76" s="128"/>
    </row>
    <row r="77" ht="1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B9:F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4" r:id="rId1"/>
  <ignoredErrors>
    <ignoredError sqref="B41:C41 B65 B67:F67 B70:C70 B75:F75 G35:G36 G38:G39 G41:G42 D68 G9:G15 G17:G27 G29:G33 D65:G65 D41:E41 F41 F59 G47:G54 G55:G64 G68:G76 E70:F70 D70 D45 D46:D53 D55:D58 G66:G67 B16" unlockedFormula="1"/>
    <ignoredError sqref="G40 G37 G34 G28 G16 D60 D54 E45:F45 E54:F54 C59 F16 F28 B28:C28 B59 E59 D28 D59" formula="1" unlockedFormula="1"/>
    <ignoredError sqref="C54 E16 E28 B45" formulaRange="1"/>
    <ignoredError sqref="D35 D16" formula="1"/>
    <ignoredError sqref="E45:F45 E54:F54 C59 F16 F28 B28:C28 B59 E59" formulaRange="1" unlockedFormula="1"/>
    <ignoredError sqref="D28" formula="1" formulaRange="1"/>
    <ignoredError sqref="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80" zoomScaleNormal="80" zoomScalePageLayoutView="0" workbookViewId="0" topLeftCell="A52">
      <pane xSplit="1" topLeftCell="B1" activePane="topRight" state="frozen"/>
      <selection pane="topLeft" activeCell="A22" sqref="A22"/>
      <selection pane="topRight" activeCell="E76" sqref="E76"/>
    </sheetView>
  </sheetViews>
  <sheetFormatPr defaultColWidth="0.9921875" defaultRowHeight="15" zeroHeight="1"/>
  <cols>
    <col min="1" max="1" width="99.28125" style="0" customWidth="1"/>
    <col min="2" max="2" width="19.421875" style="0" customWidth="1"/>
    <col min="3" max="3" width="18.8515625" style="0" customWidth="1"/>
    <col min="4" max="4" width="19.28125" style="0" customWidth="1"/>
    <col min="5" max="5" width="19.140625" style="0" customWidth="1"/>
    <col min="6" max="6" width="19.28125" style="0" customWidth="1"/>
    <col min="7" max="7" width="17.57421875" style="0" customWidth="1"/>
    <col min="8" max="255" width="11.421875" style="0" hidden="1" customWidth="1"/>
  </cols>
  <sheetData>
    <row r="1" spans="1:7" ht="21">
      <c r="A1" s="168" t="s">
        <v>290</v>
      </c>
      <c r="B1" s="165"/>
      <c r="C1" s="165"/>
      <c r="D1" s="165"/>
      <c r="E1" s="165"/>
      <c r="F1" s="165"/>
      <c r="G1" s="165"/>
    </row>
    <row r="2" spans="1:7" ht="15">
      <c r="A2" s="169" t="s">
        <v>289</v>
      </c>
      <c r="B2" s="169"/>
      <c r="C2" s="169"/>
      <c r="D2" s="169"/>
      <c r="E2" s="169"/>
      <c r="F2" s="169"/>
      <c r="G2" s="169"/>
    </row>
    <row r="3" spans="1:7" ht="15">
      <c r="A3" s="170" t="s">
        <v>291</v>
      </c>
      <c r="B3" s="170"/>
      <c r="C3" s="170"/>
      <c r="D3" s="170"/>
      <c r="E3" s="170"/>
      <c r="F3" s="170"/>
      <c r="G3" s="170"/>
    </row>
    <row r="4" spans="1:7" ht="15">
      <c r="A4" s="170" t="s">
        <v>292</v>
      </c>
      <c r="B4" s="170"/>
      <c r="C4" s="170"/>
      <c r="D4" s="170"/>
      <c r="E4" s="170"/>
      <c r="F4" s="170"/>
      <c r="G4" s="170"/>
    </row>
    <row r="5" spans="1:7" ht="15">
      <c r="A5" s="152" t="s">
        <v>479</v>
      </c>
      <c r="B5" s="153"/>
      <c r="C5" s="153"/>
      <c r="D5" s="153"/>
      <c r="E5" s="153"/>
      <c r="F5" s="153"/>
      <c r="G5" s="154"/>
    </row>
    <row r="6" spans="1:7" ht="15">
      <c r="A6" s="163" t="s">
        <v>2</v>
      </c>
      <c r="B6" s="163"/>
      <c r="C6" s="163"/>
      <c r="D6" s="163"/>
      <c r="E6" s="163"/>
      <c r="F6" s="163"/>
      <c r="G6" s="163"/>
    </row>
    <row r="7" spans="1:7" ht="15">
      <c r="A7" s="166" t="s">
        <v>4</v>
      </c>
      <c r="B7" s="166" t="s">
        <v>293</v>
      </c>
      <c r="C7" s="166"/>
      <c r="D7" s="166"/>
      <c r="E7" s="166"/>
      <c r="F7" s="166"/>
      <c r="G7" s="167" t="s">
        <v>294</v>
      </c>
    </row>
    <row r="8" spans="1:7" ht="30">
      <c r="A8" s="166"/>
      <c r="B8" s="6" t="s">
        <v>295</v>
      </c>
      <c r="C8" s="6" t="s">
        <v>296</v>
      </c>
      <c r="D8" s="6" t="s">
        <v>297</v>
      </c>
      <c r="E8" s="6" t="s">
        <v>182</v>
      </c>
      <c r="F8" s="6" t="s">
        <v>298</v>
      </c>
      <c r="G8" s="166"/>
    </row>
    <row r="9" spans="1:7" ht="15">
      <c r="A9" s="132" t="s">
        <v>299</v>
      </c>
      <c r="B9" s="77">
        <f aca="true" t="shared" si="0" ref="B9:G9">SUM(B10,B18,B28,B38,B48,B58,B62,B70,B74)</f>
        <v>12560746811</v>
      </c>
      <c r="C9" s="77">
        <f t="shared" si="0"/>
        <v>616658994.1</v>
      </c>
      <c r="D9" s="77">
        <f t="shared" si="0"/>
        <v>13177405805.099998</v>
      </c>
      <c r="E9" s="77">
        <f t="shared" si="0"/>
        <v>5840600245.429999</v>
      </c>
      <c r="F9" s="77">
        <f t="shared" si="0"/>
        <v>5834432647.429999</v>
      </c>
      <c r="G9" s="77">
        <f t="shared" si="0"/>
        <v>7336805559.67</v>
      </c>
    </row>
    <row r="10" spans="1:7" ht="15">
      <c r="A10" s="138" t="s">
        <v>300</v>
      </c>
      <c r="B10" s="75">
        <f aca="true" t="shared" si="1" ref="B10:G10">SUM(B11:B17)</f>
        <v>2376043892</v>
      </c>
      <c r="C10" s="119">
        <f>SUM(C11:C17)</f>
        <v>5969704.280000002</v>
      </c>
      <c r="D10" s="75">
        <f t="shared" si="1"/>
        <v>2382013596.28</v>
      </c>
      <c r="E10" s="75">
        <f t="shared" si="1"/>
        <v>1067268883.4399999</v>
      </c>
      <c r="F10" s="119">
        <f t="shared" si="1"/>
        <v>1067268883.4399999</v>
      </c>
      <c r="G10" s="75">
        <f t="shared" si="1"/>
        <v>1314744712.8400002</v>
      </c>
    </row>
    <row r="11" spans="1:7" ht="15">
      <c r="A11" s="133" t="s">
        <v>301</v>
      </c>
      <c r="B11" s="75">
        <v>1175608765</v>
      </c>
      <c r="C11" s="75">
        <v>-11485871.45</v>
      </c>
      <c r="D11" s="75">
        <v>1164122893.55</v>
      </c>
      <c r="E11" s="75">
        <v>573793456.81</v>
      </c>
      <c r="F11" s="115">
        <v>573793456.81</v>
      </c>
      <c r="G11" s="75">
        <f aca="true" t="shared" si="2" ref="G11:G17">D11-E11</f>
        <v>590329436.74</v>
      </c>
    </row>
    <row r="12" spans="1:7" ht="15">
      <c r="A12" s="133" t="s">
        <v>302</v>
      </c>
      <c r="B12" s="75">
        <v>72737786</v>
      </c>
      <c r="C12" s="75">
        <v>4348495.65</v>
      </c>
      <c r="D12" s="75">
        <v>77086281.65</v>
      </c>
      <c r="E12" s="75">
        <v>37062295.06</v>
      </c>
      <c r="F12" s="115">
        <v>37062295.06</v>
      </c>
      <c r="G12" s="75">
        <f>D12-E12</f>
        <v>40023986.59</v>
      </c>
    </row>
    <row r="13" spans="1:7" ht="15">
      <c r="A13" s="133" t="s">
        <v>303</v>
      </c>
      <c r="B13" s="75">
        <v>563291191</v>
      </c>
      <c r="C13" s="75">
        <v>2155706.21</v>
      </c>
      <c r="D13" s="75">
        <v>565446897.21</v>
      </c>
      <c r="E13" s="75">
        <v>183219513.69</v>
      </c>
      <c r="F13" s="115">
        <v>183219513.69</v>
      </c>
      <c r="G13" s="75">
        <f t="shared" si="2"/>
        <v>382227383.52000004</v>
      </c>
    </row>
    <row r="14" spans="1:7" ht="15">
      <c r="A14" s="133" t="s">
        <v>304</v>
      </c>
      <c r="B14" s="75">
        <v>559237007</v>
      </c>
      <c r="C14" s="75">
        <v>-377543.43</v>
      </c>
      <c r="D14" s="75">
        <v>558859463.57</v>
      </c>
      <c r="E14" s="75">
        <v>261864700.58</v>
      </c>
      <c r="F14" s="115">
        <v>261864700.58</v>
      </c>
      <c r="G14" s="75">
        <f t="shared" si="2"/>
        <v>296994762.99</v>
      </c>
    </row>
    <row r="15" spans="1:7" ht="15">
      <c r="A15" s="133" t="s">
        <v>305</v>
      </c>
      <c r="B15" s="75">
        <v>0</v>
      </c>
      <c r="C15" s="75">
        <v>12028917.3</v>
      </c>
      <c r="D15" s="75">
        <v>12028917.3</v>
      </c>
      <c r="E15" s="75">
        <v>11328917.3</v>
      </c>
      <c r="F15" s="115">
        <v>11328917.3</v>
      </c>
      <c r="G15" s="75">
        <f t="shared" si="2"/>
        <v>700000</v>
      </c>
    </row>
    <row r="16" spans="1:7" ht="15">
      <c r="A16" s="133" t="s">
        <v>306</v>
      </c>
      <c r="B16" s="75">
        <v>5169143</v>
      </c>
      <c r="C16" s="75">
        <v>-700000</v>
      </c>
      <c r="D16" s="75">
        <v>4469143</v>
      </c>
      <c r="E16" s="75">
        <v>0</v>
      </c>
      <c r="F16" s="75">
        <v>0</v>
      </c>
      <c r="G16" s="75">
        <f t="shared" si="2"/>
        <v>4469143</v>
      </c>
    </row>
    <row r="17" spans="1:7" ht="15">
      <c r="A17" s="133" t="s">
        <v>307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f t="shared" si="2"/>
        <v>0</v>
      </c>
    </row>
    <row r="18" spans="1:7" ht="15">
      <c r="A18" s="138" t="s">
        <v>308</v>
      </c>
      <c r="B18" s="75">
        <f aca="true" t="shared" si="3" ref="B18:G18">SUM(B19:B27)</f>
        <v>411825261</v>
      </c>
      <c r="C18" s="75">
        <f t="shared" si="3"/>
        <v>-27543894.630000003</v>
      </c>
      <c r="D18" s="75">
        <f t="shared" si="3"/>
        <v>384281366.37000006</v>
      </c>
      <c r="E18" s="75">
        <f t="shared" si="3"/>
        <v>95573067.42999999</v>
      </c>
      <c r="F18" s="75">
        <f t="shared" si="3"/>
        <v>95573067.42999999</v>
      </c>
      <c r="G18" s="75">
        <f t="shared" si="3"/>
        <v>288708298.93999994</v>
      </c>
    </row>
    <row r="19" spans="1:7" ht="15">
      <c r="A19" s="133" t="s">
        <v>309</v>
      </c>
      <c r="B19" s="75">
        <v>183058219</v>
      </c>
      <c r="C19" s="75">
        <v>-41018644.19</v>
      </c>
      <c r="D19" s="75">
        <v>142039574.81</v>
      </c>
      <c r="E19" s="75">
        <v>44891718.05</v>
      </c>
      <c r="F19" s="115">
        <v>44891718.05</v>
      </c>
      <c r="G19" s="75">
        <f>D19-E19</f>
        <v>97147856.76</v>
      </c>
    </row>
    <row r="20" spans="1:7" ht="15">
      <c r="A20" s="133" t="s">
        <v>310</v>
      </c>
      <c r="B20" s="75">
        <v>50131188</v>
      </c>
      <c r="C20" s="75">
        <v>346795.37</v>
      </c>
      <c r="D20" s="75">
        <v>50477983.37</v>
      </c>
      <c r="E20" s="75">
        <v>22764518.09</v>
      </c>
      <c r="F20" s="115">
        <v>22764518.09</v>
      </c>
      <c r="G20" s="75">
        <f aca="true" t="shared" si="4" ref="G20:G27">D20-E20</f>
        <v>27713465.279999997</v>
      </c>
    </row>
    <row r="21" spans="1:7" ht="15">
      <c r="A21" s="133" t="s">
        <v>311</v>
      </c>
      <c r="B21" s="75">
        <v>6000</v>
      </c>
      <c r="C21" s="75">
        <v>602058.96</v>
      </c>
      <c r="D21" s="75">
        <v>608058.96</v>
      </c>
      <c r="E21" s="75">
        <v>602558</v>
      </c>
      <c r="F21" s="115">
        <v>602558</v>
      </c>
      <c r="G21" s="75">
        <f t="shared" si="4"/>
        <v>5500.959999999963</v>
      </c>
    </row>
    <row r="22" spans="1:7" ht="15">
      <c r="A22" s="133" t="s">
        <v>312</v>
      </c>
      <c r="B22" s="75">
        <v>4426475</v>
      </c>
      <c r="C22" s="75">
        <v>5375318.42</v>
      </c>
      <c r="D22" s="75">
        <v>9801793.42</v>
      </c>
      <c r="E22" s="75">
        <v>4516224.37</v>
      </c>
      <c r="F22" s="115">
        <v>4516224.37</v>
      </c>
      <c r="G22" s="75">
        <f t="shared" si="4"/>
        <v>5285569.05</v>
      </c>
    </row>
    <row r="23" spans="1:7" ht="15">
      <c r="A23" s="133" t="s">
        <v>313</v>
      </c>
      <c r="B23" s="75">
        <v>50237375</v>
      </c>
      <c r="C23" s="75">
        <v>-3518369.81</v>
      </c>
      <c r="D23" s="75">
        <v>46719005.19</v>
      </c>
      <c r="E23" s="75">
        <v>8599779.13</v>
      </c>
      <c r="F23" s="115">
        <v>8599779.13</v>
      </c>
      <c r="G23" s="75">
        <f t="shared" si="4"/>
        <v>38119226.059999995</v>
      </c>
    </row>
    <row r="24" spans="1:7" ht="15">
      <c r="A24" s="133" t="s">
        <v>314</v>
      </c>
      <c r="B24" s="75">
        <v>86637273</v>
      </c>
      <c r="C24" s="75">
        <v>7011810.81</v>
      </c>
      <c r="D24" s="75">
        <v>93649083.81</v>
      </c>
      <c r="E24" s="75">
        <v>4033360.58</v>
      </c>
      <c r="F24" s="115">
        <v>4033360.58</v>
      </c>
      <c r="G24" s="75">
        <f t="shared" si="4"/>
        <v>89615723.23</v>
      </c>
    </row>
    <row r="25" spans="1:7" ht="15">
      <c r="A25" s="133" t="s">
        <v>315</v>
      </c>
      <c r="B25" s="75">
        <v>25148926</v>
      </c>
      <c r="C25" s="75">
        <v>-635727.95</v>
      </c>
      <c r="D25" s="75">
        <v>24513198.05</v>
      </c>
      <c r="E25" s="75">
        <v>2933927.6</v>
      </c>
      <c r="F25" s="115">
        <v>2933927.6</v>
      </c>
      <c r="G25" s="75">
        <f t="shared" si="4"/>
        <v>21579270.45</v>
      </c>
    </row>
    <row r="26" spans="1:7" ht="15">
      <c r="A26" s="133" t="s">
        <v>316</v>
      </c>
      <c r="B26" s="75">
        <v>418628</v>
      </c>
      <c r="C26" s="75">
        <v>204.22</v>
      </c>
      <c r="D26" s="75">
        <v>418832.22</v>
      </c>
      <c r="E26" s="75">
        <v>360866.22</v>
      </c>
      <c r="F26" s="115">
        <v>360866.22</v>
      </c>
      <c r="G26" s="75">
        <f t="shared" si="4"/>
        <v>57966</v>
      </c>
    </row>
    <row r="27" spans="1:7" ht="15">
      <c r="A27" s="133" t="s">
        <v>317</v>
      </c>
      <c r="B27" s="75">
        <v>11761177</v>
      </c>
      <c r="C27" s="75">
        <v>4292659.54</v>
      </c>
      <c r="D27" s="75">
        <v>16053836.54</v>
      </c>
      <c r="E27" s="75">
        <v>6870115.39</v>
      </c>
      <c r="F27" s="115">
        <v>6870115.39</v>
      </c>
      <c r="G27" s="75">
        <f t="shared" si="4"/>
        <v>9183721.149999999</v>
      </c>
    </row>
    <row r="28" spans="1:7" ht="15">
      <c r="A28" s="138" t="s">
        <v>318</v>
      </c>
      <c r="B28" s="75">
        <f aca="true" t="shared" si="5" ref="B28:G28">SUM(B29:B37)</f>
        <v>1002060065</v>
      </c>
      <c r="C28" s="75">
        <f t="shared" si="5"/>
        <v>310072820.28999996</v>
      </c>
      <c r="D28" s="75">
        <f t="shared" si="5"/>
        <v>1312132885.2900002</v>
      </c>
      <c r="E28" s="75">
        <f t="shared" si="5"/>
        <v>484730871.93</v>
      </c>
      <c r="F28" s="75">
        <f t="shared" si="5"/>
        <v>479528332.67</v>
      </c>
      <c r="G28" s="75">
        <f t="shared" si="5"/>
        <v>827402013.36</v>
      </c>
    </row>
    <row r="29" spans="1:7" ht="15">
      <c r="A29" s="133" t="s">
        <v>319</v>
      </c>
      <c r="B29" s="75">
        <v>68901371</v>
      </c>
      <c r="C29" s="75">
        <v>1970594.31</v>
      </c>
      <c r="D29" s="75">
        <v>70871965.31</v>
      </c>
      <c r="E29" s="75">
        <v>31910796.15</v>
      </c>
      <c r="F29" s="115">
        <v>31910796.15</v>
      </c>
      <c r="G29" s="75">
        <f>D29-E29</f>
        <v>38961169.160000004</v>
      </c>
    </row>
    <row r="30" spans="1:7" ht="15">
      <c r="A30" s="133" t="s">
        <v>320</v>
      </c>
      <c r="B30" s="75">
        <v>162648136</v>
      </c>
      <c r="C30" s="75">
        <v>11830509.6</v>
      </c>
      <c r="D30" s="75">
        <v>174478645.6</v>
      </c>
      <c r="E30" s="75">
        <v>52051428.72</v>
      </c>
      <c r="F30" s="115">
        <v>52051428.72</v>
      </c>
      <c r="G30" s="75">
        <f aca="true" t="shared" si="6" ref="G30:G37">D30-E30</f>
        <v>122427216.88</v>
      </c>
    </row>
    <row r="31" spans="1:7" ht="15">
      <c r="A31" s="133" t="s">
        <v>321</v>
      </c>
      <c r="B31" s="75">
        <v>176880822</v>
      </c>
      <c r="C31" s="75">
        <v>43485429.18</v>
      </c>
      <c r="D31" s="75">
        <v>220366251.18</v>
      </c>
      <c r="E31" s="75">
        <v>92067592.99</v>
      </c>
      <c r="F31" s="115">
        <v>92067592.99</v>
      </c>
      <c r="G31" s="75">
        <f t="shared" si="6"/>
        <v>128298658.19000001</v>
      </c>
    </row>
    <row r="32" spans="1:7" ht="15">
      <c r="A32" s="133" t="s">
        <v>322</v>
      </c>
      <c r="B32" s="75">
        <v>64589098</v>
      </c>
      <c r="C32" s="75">
        <v>1058409.34</v>
      </c>
      <c r="D32" s="75">
        <v>65647507.34</v>
      </c>
      <c r="E32" s="75">
        <v>23431832.01</v>
      </c>
      <c r="F32" s="115">
        <v>23431832.01</v>
      </c>
      <c r="G32" s="75">
        <f t="shared" si="6"/>
        <v>42215675.33</v>
      </c>
    </row>
    <row r="33" spans="1:7" ht="15">
      <c r="A33" s="133" t="s">
        <v>323</v>
      </c>
      <c r="B33" s="75">
        <v>134643970</v>
      </c>
      <c r="C33" s="75">
        <v>244546677.35</v>
      </c>
      <c r="D33" s="75">
        <v>379190647.35</v>
      </c>
      <c r="E33" s="75">
        <v>137920865.28</v>
      </c>
      <c r="F33" s="115">
        <v>137920865.28</v>
      </c>
      <c r="G33" s="75">
        <f t="shared" si="6"/>
        <v>241269782.07000002</v>
      </c>
    </row>
    <row r="34" spans="1:7" ht="15">
      <c r="A34" s="133" t="s">
        <v>324</v>
      </c>
      <c r="B34" s="75">
        <v>85660565</v>
      </c>
      <c r="C34" s="75">
        <v>22473260.43</v>
      </c>
      <c r="D34" s="75">
        <v>108133825.43</v>
      </c>
      <c r="E34" s="75">
        <v>50661076.61</v>
      </c>
      <c r="F34" s="115">
        <v>50661076.61</v>
      </c>
      <c r="G34" s="75">
        <f t="shared" si="6"/>
        <v>57472748.82000001</v>
      </c>
    </row>
    <row r="35" spans="1:7" ht="15">
      <c r="A35" s="133" t="s">
        <v>325</v>
      </c>
      <c r="B35" s="75">
        <v>19233857</v>
      </c>
      <c r="C35" s="75">
        <v>299425.83</v>
      </c>
      <c r="D35" s="75">
        <v>19533282.83</v>
      </c>
      <c r="E35" s="75">
        <v>7956905.04</v>
      </c>
      <c r="F35" s="115">
        <v>7956905.04</v>
      </c>
      <c r="G35" s="75">
        <f t="shared" si="6"/>
        <v>11576377.79</v>
      </c>
    </row>
    <row r="36" spans="1:7" ht="15">
      <c r="A36" s="133" t="s">
        <v>326</v>
      </c>
      <c r="B36" s="75">
        <v>122495899</v>
      </c>
      <c r="C36" s="75">
        <v>-16966727.93</v>
      </c>
      <c r="D36" s="75">
        <v>105529171.07</v>
      </c>
      <c r="E36" s="75">
        <v>49087018.83</v>
      </c>
      <c r="F36" s="115">
        <v>49087018.83</v>
      </c>
      <c r="G36" s="75">
        <f t="shared" si="6"/>
        <v>56442152.239999995</v>
      </c>
    </row>
    <row r="37" spans="1:7" ht="15">
      <c r="A37" s="133" t="s">
        <v>327</v>
      </c>
      <c r="B37" s="75">
        <v>167006347</v>
      </c>
      <c r="C37" s="75">
        <v>1375242.18</v>
      </c>
      <c r="D37" s="75">
        <v>168381589.18</v>
      </c>
      <c r="E37" s="75">
        <v>39643356.3</v>
      </c>
      <c r="F37" s="115">
        <v>34440817.04</v>
      </c>
      <c r="G37" s="75">
        <f t="shared" si="6"/>
        <v>128738232.88000001</v>
      </c>
    </row>
    <row r="38" spans="1:7" ht="15">
      <c r="A38" s="138" t="s">
        <v>328</v>
      </c>
      <c r="B38" s="75">
        <f aca="true" t="shared" si="7" ref="B38:G38">SUM(B39:B47)</f>
        <v>4496446645</v>
      </c>
      <c r="C38" s="75">
        <f t="shared" si="7"/>
        <v>29488437.519999996</v>
      </c>
      <c r="D38" s="75">
        <f t="shared" si="7"/>
        <v>4525935082.5199995</v>
      </c>
      <c r="E38" s="75">
        <f t="shared" si="7"/>
        <v>2144431591.3500001</v>
      </c>
      <c r="F38" s="75">
        <f t="shared" si="7"/>
        <v>2143466532.6100001</v>
      </c>
      <c r="G38" s="75">
        <f t="shared" si="7"/>
        <v>2381503491.17</v>
      </c>
    </row>
    <row r="39" spans="1:7" ht="15">
      <c r="A39" s="133" t="s">
        <v>329</v>
      </c>
      <c r="B39" s="75">
        <v>897114549</v>
      </c>
      <c r="C39" s="75">
        <v>8531937.3</v>
      </c>
      <c r="D39" s="75">
        <v>905646486.3</v>
      </c>
      <c r="E39" s="75">
        <v>446706954.31</v>
      </c>
      <c r="F39" s="115">
        <v>446706954.31</v>
      </c>
      <c r="G39" s="115">
        <f>D39-E39</f>
        <v>458939531.98999995</v>
      </c>
    </row>
    <row r="40" spans="1:7" ht="15">
      <c r="A40" s="133" t="s">
        <v>330</v>
      </c>
      <c r="B40" s="75">
        <v>2914436267</v>
      </c>
      <c r="C40" s="75">
        <v>40986130.75</v>
      </c>
      <c r="D40" s="75">
        <v>2955422397.75</v>
      </c>
      <c r="E40" s="75">
        <v>1549693229.96</v>
      </c>
      <c r="F40" s="115">
        <v>1548728171.22</v>
      </c>
      <c r="G40" s="115">
        <f aca="true" t="shared" si="8" ref="G40:G47">D40-E40</f>
        <v>1405729167.79</v>
      </c>
    </row>
    <row r="41" spans="1:7" ht="15">
      <c r="A41" s="133" t="s">
        <v>331</v>
      </c>
      <c r="B41" s="75">
        <v>72000000</v>
      </c>
      <c r="C41" s="75">
        <v>-271381</v>
      </c>
      <c r="D41" s="75">
        <v>71728619</v>
      </c>
      <c r="E41" s="75">
        <v>12270033.19</v>
      </c>
      <c r="F41" s="75">
        <v>12270033.19</v>
      </c>
      <c r="G41" s="115">
        <f t="shared" si="8"/>
        <v>59458585.81</v>
      </c>
    </row>
    <row r="42" spans="1:7" ht="15">
      <c r="A42" s="133" t="s">
        <v>332</v>
      </c>
      <c r="B42" s="75">
        <v>564750761</v>
      </c>
      <c r="C42" s="75">
        <v>-20761181.93</v>
      </c>
      <c r="D42" s="75">
        <v>543989579.07</v>
      </c>
      <c r="E42" s="75">
        <v>95757542.89</v>
      </c>
      <c r="F42" s="115">
        <v>95757542.89</v>
      </c>
      <c r="G42" s="115">
        <f t="shared" si="8"/>
        <v>448232036.18000007</v>
      </c>
    </row>
    <row r="43" spans="1:7" ht="15">
      <c r="A43" s="133" t="s">
        <v>333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f t="shared" si="8"/>
        <v>0</v>
      </c>
    </row>
    <row r="44" spans="1:7" ht="15">
      <c r="A44" s="133" t="s">
        <v>334</v>
      </c>
      <c r="B44" s="75">
        <v>47151000</v>
      </c>
      <c r="C44" s="75">
        <v>1639666</v>
      </c>
      <c r="D44" s="75">
        <v>48790666</v>
      </c>
      <c r="E44" s="75">
        <v>40003831</v>
      </c>
      <c r="F44" s="115">
        <v>40003831</v>
      </c>
      <c r="G44" s="115">
        <f t="shared" si="8"/>
        <v>8786835</v>
      </c>
    </row>
    <row r="45" spans="1:7" ht="15">
      <c r="A45" s="133" t="s">
        <v>335</v>
      </c>
      <c r="B45" s="75">
        <v>994068</v>
      </c>
      <c r="C45" s="75">
        <v>-636733.6</v>
      </c>
      <c r="D45" s="75">
        <v>357334.4</v>
      </c>
      <c r="E45" s="75">
        <v>0</v>
      </c>
      <c r="F45" s="75">
        <v>0</v>
      </c>
      <c r="G45" s="75">
        <f t="shared" si="8"/>
        <v>357334.4</v>
      </c>
    </row>
    <row r="46" spans="1:7" ht="15">
      <c r="A46" s="133" t="s">
        <v>336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f t="shared" si="8"/>
        <v>0</v>
      </c>
    </row>
    <row r="47" spans="1:7" ht="15">
      <c r="A47" s="133" t="s">
        <v>337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f t="shared" si="8"/>
        <v>0</v>
      </c>
    </row>
    <row r="48" spans="1:7" ht="15">
      <c r="A48" s="138" t="s">
        <v>338</v>
      </c>
      <c r="B48" s="75">
        <f aca="true" t="shared" si="9" ref="B48:G48">SUM(B49:B57)</f>
        <v>124008542</v>
      </c>
      <c r="C48" s="75">
        <f t="shared" si="9"/>
        <v>1625481.8800000004</v>
      </c>
      <c r="D48" s="75">
        <f t="shared" si="9"/>
        <v>125634023.88</v>
      </c>
      <c r="E48" s="75">
        <f t="shared" si="9"/>
        <v>3741337.63</v>
      </c>
      <c r="F48" s="75">
        <f t="shared" si="9"/>
        <v>3741337.63</v>
      </c>
      <c r="G48" s="75">
        <f t="shared" si="9"/>
        <v>121892686.25</v>
      </c>
    </row>
    <row r="49" spans="1:7" ht="15">
      <c r="A49" s="133" t="s">
        <v>339</v>
      </c>
      <c r="B49" s="75">
        <v>20978212</v>
      </c>
      <c r="C49" s="75">
        <v>5213724.42</v>
      </c>
      <c r="D49" s="75">
        <v>26191936.42</v>
      </c>
      <c r="E49" s="75">
        <v>2392254.69</v>
      </c>
      <c r="F49" s="115">
        <v>2392254.69</v>
      </c>
      <c r="G49" s="75">
        <f>D49-E49</f>
        <v>23799681.73</v>
      </c>
    </row>
    <row r="50" spans="1:7" ht="15">
      <c r="A50" s="133" t="s">
        <v>340</v>
      </c>
      <c r="B50" s="75">
        <v>472986</v>
      </c>
      <c r="C50" s="75">
        <v>151102.88</v>
      </c>
      <c r="D50" s="75">
        <v>624088.88</v>
      </c>
      <c r="E50" s="75">
        <v>224191.4</v>
      </c>
      <c r="F50" s="115">
        <v>224191.4</v>
      </c>
      <c r="G50" s="75">
        <f aca="true" t="shared" si="10" ref="G50:G57">D50-E50</f>
        <v>399897.48</v>
      </c>
    </row>
    <row r="51" spans="1:7" ht="15">
      <c r="A51" s="133" t="s">
        <v>341</v>
      </c>
      <c r="B51" s="75">
        <v>0</v>
      </c>
      <c r="C51" s="75">
        <v>23278.48</v>
      </c>
      <c r="D51" s="75">
        <v>23278.48</v>
      </c>
      <c r="E51" s="75">
        <v>23278.48</v>
      </c>
      <c r="F51" s="115">
        <v>23278.48</v>
      </c>
      <c r="G51" s="75">
        <f t="shared" si="10"/>
        <v>0</v>
      </c>
    </row>
    <row r="52" spans="1:7" ht="15">
      <c r="A52" s="133" t="s">
        <v>342</v>
      </c>
      <c r="B52" s="75">
        <v>22164698</v>
      </c>
      <c r="C52" s="75">
        <v>-4060471.84</v>
      </c>
      <c r="D52" s="75">
        <v>18104226.16</v>
      </c>
      <c r="E52" s="75">
        <v>934674.16</v>
      </c>
      <c r="F52" s="115">
        <v>934674.16</v>
      </c>
      <c r="G52" s="75">
        <f t="shared" si="10"/>
        <v>17169552</v>
      </c>
    </row>
    <row r="53" spans="1:7" ht="15">
      <c r="A53" s="133" t="s">
        <v>343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f t="shared" si="10"/>
        <v>0</v>
      </c>
    </row>
    <row r="54" spans="1:7" ht="15">
      <c r="A54" s="133" t="s">
        <v>344</v>
      </c>
      <c r="B54" s="75">
        <v>80257646</v>
      </c>
      <c r="C54" s="75">
        <v>390847.94</v>
      </c>
      <c r="D54" s="75">
        <v>80648493.94</v>
      </c>
      <c r="E54" s="75">
        <v>124938.9</v>
      </c>
      <c r="F54" s="115">
        <v>124938.9</v>
      </c>
      <c r="G54" s="75">
        <f t="shared" si="10"/>
        <v>80523555.03999999</v>
      </c>
    </row>
    <row r="55" spans="1:7" ht="15">
      <c r="A55" s="133" t="s">
        <v>345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f t="shared" si="10"/>
        <v>0</v>
      </c>
    </row>
    <row r="56" spans="1:7" ht="15">
      <c r="A56" s="133" t="s">
        <v>346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f t="shared" si="10"/>
        <v>0</v>
      </c>
    </row>
    <row r="57" spans="1:7" ht="15">
      <c r="A57" s="133" t="s">
        <v>347</v>
      </c>
      <c r="B57" s="75">
        <v>135000</v>
      </c>
      <c r="C57" s="75">
        <v>-93000</v>
      </c>
      <c r="D57" s="75">
        <v>42000</v>
      </c>
      <c r="E57" s="75">
        <v>42000</v>
      </c>
      <c r="F57" s="75">
        <v>42000</v>
      </c>
      <c r="G57" s="75">
        <f t="shared" si="10"/>
        <v>0</v>
      </c>
    </row>
    <row r="58" spans="1:7" ht="15">
      <c r="A58" s="138" t="s">
        <v>348</v>
      </c>
      <c r="B58" s="75">
        <f aca="true" t="shared" si="11" ref="B58:G58">SUM(B59:B61)</f>
        <v>191612691</v>
      </c>
      <c r="C58" s="75">
        <f t="shared" si="11"/>
        <v>91650836.69</v>
      </c>
      <c r="D58" s="119">
        <f>SUM(D59:D61)</f>
        <v>283263527.69</v>
      </c>
      <c r="E58" s="75">
        <f t="shared" si="11"/>
        <v>78726568.2</v>
      </c>
      <c r="F58" s="115">
        <f t="shared" si="11"/>
        <v>78726568.2</v>
      </c>
      <c r="G58" s="75">
        <f t="shared" si="11"/>
        <v>204536959.48999998</v>
      </c>
    </row>
    <row r="59" spans="1:7" ht="15">
      <c r="A59" s="133" t="s">
        <v>349</v>
      </c>
      <c r="B59" s="75">
        <v>191612691</v>
      </c>
      <c r="C59" s="75">
        <v>86869407.88</v>
      </c>
      <c r="D59" s="75">
        <v>278482098.88</v>
      </c>
      <c r="E59" s="75">
        <v>76285488.61</v>
      </c>
      <c r="F59" s="115">
        <v>76285488.61</v>
      </c>
      <c r="G59" s="75">
        <f>D59-E59</f>
        <v>202196610.26999998</v>
      </c>
    </row>
    <row r="60" spans="1:7" ht="15">
      <c r="A60" s="133" t="s">
        <v>350</v>
      </c>
      <c r="B60" s="75">
        <v>0</v>
      </c>
      <c r="C60" s="75">
        <v>4781428.81</v>
      </c>
      <c r="D60" s="75">
        <v>4781428.81</v>
      </c>
      <c r="E60" s="75">
        <v>2441079.59</v>
      </c>
      <c r="F60" s="115">
        <v>2441079.59</v>
      </c>
      <c r="G60" s="75">
        <f>D60-E60</f>
        <v>2340349.2199999997</v>
      </c>
    </row>
    <row r="61" spans="1:7" ht="15">
      <c r="A61" s="133" t="s">
        <v>351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f>D61-E61</f>
        <v>0</v>
      </c>
    </row>
    <row r="62" spans="1:7" ht="15">
      <c r="A62" s="138" t="s">
        <v>352</v>
      </c>
      <c r="B62" s="114">
        <f>SUM(B63:B67,B68:B69)</f>
        <v>217172982</v>
      </c>
      <c r="C62" s="114">
        <f>SUM(C63:C67,C68:C69)</f>
        <v>-11942910.719999999</v>
      </c>
      <c r="D62" s="115">
        <f>SUM(D63:D67,D68:D69)</f>
        <v>205230071.27999997</v>
      </c>
      <c r="E62" s="114">
        <f>SUM(E63:E67,E68:E69)</f>
        <v>22304833.08</v>
      </c>
      <c r="F62" s="75">
        <f>SUM(F63:F67,F68:F69)</f>
        <v>22304833.08</v>
      </c>
      <c r="G62" s="114">
        <f>D62-E62</f>
        <v>182925238.2</v>
      </c>
    </row>
    <row r="63" spans="1:7" ht="15">
      <c r="A63" s="133" t="s">
        <v>353</v>
      </c>
      <c r="B63" s="114">
        <v>0</v>
      </c>
      <c r="C63" s="114">
        <v>0</v>
      </c>
      <c r="D63" s="114">
        <v>0</v>
      </c>
      <c r="E63" s="114">
        <v>0</v>
      </c>
      <c r="F63" s="114">
        <v>0</v>
      </c>
      <c r="G63" s="75">
        <f>D63-E63</f>
        <v>0</v>
      </c>
    </row>
    <row r="64" spans="1:7" ht="15">
      <c r="A64" s="133" t="s">
        <v>354</v>
      </c>
      <c r="B64" s="114">
        <v>0</v>
      </c>
      <c r="C64" s="114">
        <v>0</v>
      </c>
      <c r="D64" s="114">
        <v>0</v>
      </c>
      <c r="E64" s="114">
        <v>0</v>
      </c>
      <c r="F64" s="114">
        <v>0</v>
      </c>
      <c r="G64" s="75">
        <f aca="true" t="shared" si="12" ref="G64:G69">D64-E64</f>
        <v>0</v>
      </c>
    </row>
    <row r="65" spans="1:7" ht="15">
      <c r="A65" s="133" t="s">
        <v>355</v>
      </c>
      <c r="B65" s="114">
        <v>0</v>
      </c>
      <c r="C65" s="114">
        <v>0</v>
      </c>
      <c r="D65" s="114">
        <v>0</v>
      </c>
      <c r="E65" s="114">
        <v>0</v>
      </c>
      <c r="F65" s="114">
        <v>0</v>
      </c>
      <c r="G65" s="75">
        <f t="shared" si="12"/>
        <v>0</v>
      </c>
    </row>
    <row r="66" spans="1:7" ht="15">
      <c r="A66" s="133" t="s">
        <v>356</v>
      </c>
      <c r="B66" s="114">
        <v>0</v>
      </c>
      <c r="C66" s="114">
        <v>0</v>
      </c>
      <c r="D66" s="114">
        <v>0</v>
      </c>
      <c r="E66" s="114">
        <v>0</v>
      </c>
      <c r="F66" s="114">
        <v>0</v>
      </c>
      <c r="G66" s="75">
        <f t="shared" si="12"/>
        <v>0</v>
      </c>
    </row>
    <row r="67" spans="1:7" ht="30">
      <c r="A67" s="136" t="s">
        <v>457</v>
      </c>
      <c r="B67" s="115">
        <v>0</v>
      </c>
      <c r="C67" s="115">
        <v>22304833.08</v>
      </c>
      <c r="D67" s="115">
        <v>22304833.08</v>
      </c>
      <c r="E67" s="115">
        <v>22304833.08</v>
      </c>
      <c r="F67" s="115">
        <v>22304833.08</v>
      </c>
      <c r="G67" s="115">
        <f t="shared" si="12"/>
        <v>0</v>
      </c>
    </row>
    <row r="68" spans="1:7" ht="15">
      <c r="A68" s="133" t="s">
        <v>359</v>
      </c>
      <c r="B68" s="114">
        <v>0</v>
      </c>
      <c r="C68" s="114">
        <v>0</v>
      </c>
      <c r="D68" s="114">
        <v>0</v>
      </c>
      <c r="E68" s="114">
        <v>0</v>
      </c>
      <c r="F68" s="114">
        <v>0</v>
      </c>
      <c r="G68" s="75">
        <f t="shared" si="12"/>
        <v>0</v>
      </c>
    </row>
    <row r="69" spans="1:7" ht="15">
      <c r="A69" s="133" t="s">
        <v>360</v>
      </c>
      <c r="B69" s="75">
        <v>217172982</v>
      </c>
      <c r="C69" s="75">
        <v>-34247743.8</v>
      </c>
      <c r="D69" s="75">
        <v>182925238.2</v>
      </c>
      <c r="E69" s="75">
        <v>0</v>
      </c>
      <c r="F69" s="75">
        <v>0</v>
      </c>
      <c r="G69" s="75">
        <f t="shared" si="12"/>
        <v>182925238.2</v>
      </c>
    </row>
    <row r="70" spans="1:7" ht="15">
      <c r="A70" s="138" t="s">
        <v>361</v>
      </c>
      <c r="B70" s="75">
        <f aca="true" t="shared" si="13" ref="B70:G70">SUM(B71:B73)</f>
        <v>3332217890</v>
      </c>
      <c r="C70" s="75">
        <f t="shared" si="13"/>
        <v>206104741.91000003</v>
      </c>
      <c r="D70" s="75">
        <f t="shared" si="13"/>
        <v>3538322631.91</v>
      </c>
      <c r="E70" s="75">
        <f t="shared" si="13"/>
        <v>1765707441.83</v>
      </c>
      <c r="F70" s="75">
        <f t="shared" si="13"/>
        <v>1765707441.83</v>
      </c>
      <c r="G70" s="75">
        <f t="shared" si="13"/>
        <v>1772615190.08</v>
      </c>
    </row>
    <row r="71" spans="1:7" ht="15">
      <c r="A71" s="133" t="s">
        <v>362</v>
      </c>
      <c r="B71" s="75">
        <v>2909112498</v>
      </c>
      <c r="C71" s="75">
        <v>161503658.08</v>
      </c>
      <c r="D71" s="75">
        <v>3070616156.08</v>
      </c>
      <c r="E71" s="75">
        <v>1544079024.95</v>
      </c>
      <c r="F71" s="115">
        <v>1544079024.95</v>
      </c>
      <c r="G71" s="75">
        <f>D71-E71</f>
        <v>1526537131.1299999</v>
      </c>
    </row>
    <row r="72" spans="1:7" ht="15">
      <c r="A72" s="133" t="s">
        <v>363</v>
      </c>
      <c r="B72" s="75">
        <v>102959494</v>
      </c>
      <c r="C72" s="75">
        <v>-5462914</v>
      </c>
      <c r="D72" s="75">
        <v>97496580</v>
      </c>
      <c r="E72" s="75">
        <v>50711007</v>
      </c>
      <c r="F72" s="115">
        <v>50711007</v>
      </c>
      <c r="G72" s="75">
        <f>D72-E72</f>
        <v>46785573</v>
      </c>
    </row>
    <row r="73" spans="1:7" ht="15">
      <c r="A73" s="133" t="s">
        <v>364</v>
      </c>
      <c r="B73" s="75">
        <v>320145898</v>
      </c>
      <c r="C73" s="75">
        <v>50063997.83</v>
      </c>
      <c r="D73" s="75">
        <v>370209895.83</v>
      </c>
      <c r="E73" s="75">
        <v>170917409.88</v>
      </c>
      <c r="F73" s="115">
        <v>170917409.88</v>
      </c>
      <c r="G73" s="75">
        <f>D73-E73</f>
        <v>199292485.95</v>
      </c>
    </row>
    <row r="74" spans="1:7" ht="15">
      <c r="A74" s="138" t="s">
        <v>365</v>
      </c>
      <c r="B74" s="75">
        <f aca="true" t="shared" si="14" ref="B74:G74">SUM(B75:B81)</f>
        <v>409358843</v>
      </c>
      <c r="C74" s="75">
        <f>SUM(C75:C81)</f>
        <v>11233776.88</v>
      </c>
      <c r="D74" s="75">
        <f t="shared" si="14"/>
        <v>420592619.88</v>
      </c>
      <c r="E74" s="75">
        <f t="shared" si="14"/>
        <v>178115650.54000002</v>
      </c>
      <c r="F74" s="75">
        <f t="shared" si="14"/>
        <v>178115650.54000002</v>
      </c>
      <c r="G74" s="75">
        <f t="shared" si="14"/>
        <v>242476969.33999997</v>
      </c>
    </row>
    <row r="75" spans="1:7" ht="15">
      <c r="A75" s="133" t="s">
        <v>366</v>
      </c>
      <c r="B75" s="75">
        <v>57234000</v>
      </c>
      <c r="C75" s="75">
        <v>0</v>
      </c>
      <c r="D75" s="75">
        <v>57234000</v>
      </c>
      <c r="E75" s="75">
        <v>27590482.96</v>
      </c>
      <c r="F75" s="115">
        <v>27590482.96</v>
      </c>
      <c r="G75" s="75">
        <f>D75-E75</f>
        <v>29643517.04</v>
      </c>
    </row>
    <row r="76" spans="1:7" ht="15">
      <c r="A76" s="133" t="s">
        <v>367</v>
      </c>
      <c r="B76" s="75">
        <v>302124843</v>
      </c>
      <c r="C76" s="75">
        <v>11233776.88</v>
      </c>
      <c r="D76" s="75">
        <v>313358619.88</v>
      </c>
      <c r="E76" s="75">
        <v>150525167.58</v>
      </c>
      <c r="F76" s="115">
        <v>150525167.58</v>
      </c>
      <c r="G76" s="75">
        <f aca="true" t="shared" si="15" ref="G76:G81">D76-E76</f>
        <v>162833452.29999998</v>
      </c>
    </row>
    <row r="77" spans="1:7" ht="15">
      <c r="A77" s="133" t="s">
        <v>368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si="15"/>
        <v>0</v>
      </c>
    </row>
    <row r="78" spans="1:7" ht="15">
      <c r="A78" s="133" t="s">
        <v>369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5"/>
        <v>0</v>
      </c>
    </row>
    <row r="79" spans="1:7" ht="15">
      <c r="A79" s="133" t="s">
        <v>370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5"/>
        <v>0</v>
      </c>
    </row>
    <row r="80" spans="1:7" ht="15">
      <c r="A80" s="133" t="s">
        <v>371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5"/>
        <v>0</v>
      </c>
    </row>
    <row r="81" spans="1:7" ht="15">
      <c r="A81" s="133" t="s">
        <v>372</v>
      </c>
      <c r="B81" s="75">
        <v>50000000</v>
      </c>
      <c r="C81" s="75">
        <v>0</v>
      </c>
      <c r="D81" s="75">
        <v>50000000</v>
      </c>
      <c r="E81" s="75">
        <v>0</v>
      </c>
      <c r="F81" s="75">
        <v>0</v>
      </c>
      <c r="G81" s="75">
        <f t="shared" si="15"/>
        <v>50000000</v>
      </c>
    </row>
    <row r="82" spans="1:7" ht="15">
      <c r="A82" s="19"/>
      <c r="B82" s="76"/>
      <c r="C82" s="76"/>
      <c r="D82" s="76"/>
      <c r="E82" s="76"/>
      <c r="F82" s="76"/>
      <c r="G82" s="76"/>
    </row>
    <row r="83" spans="1:7" ht="15">
      <c r="A83" s="130" t="s">
        <v>373</v>
      </c>
      <c r="B83" s="77">
        <f aca="true" t="shared" si="16" ref="B83:G83">SUM(B84,B92,B102,B112,B122,B132,B136,B145,B149)</f>
        <v>12265972110</v>
      </c>
      <c r="C83" s="77">
        <f t="shared" si="16"/>
        <v>1293790191.21</v>
      </c>
      <c r="D83" s="77">
        <f>SUM(D84,D92,D102,D112,D122,D132,D136,D145,D149)</f>
        <v>13559762301.21</v>
      </c>
      <c r="E83" s="77">
        <f t="shared" si="16"/>
        <v>6327653608.049999</v>
      </c>
      <c r="F83" s="77">
        <f t="shared" si="16"/>
        <v>6327653608.049999</v>
      </c>
      <c r="G83" s="77">
        <f t="shared" si="16"/>
        <v>7232108693.16</v>
      </c>
    </row>
    <row r="84" spans="1:7" ht="15">
      <c r="A84" s="138" t="s">
        <v>300</v>
      </c>
      <c r="B84" s="75">
        <f aca="true" t="shared" si="17" ref="B84:G84">SUM(B85:B91)</f>
        <v>5018053722</v>
      </c>
      <c r="C84" s="75">
        <f t="shared" si="17"/>
        <v>0</v>
      </c>
      <c r="D84" s="75">
        <f t="shared" si="17"/>
        <v>5018053722</v>
      </c>
      <c r="E84" s="75">
        <f t="shared" si="17"/>
        <v>2316644594.5</v>
      </c>
      <c r="F84" s="75">
        <f t="shared" si="17"/>
        <v>2316644594.5</v>
      </c>
      <c r="G84" s="75">
        <f t="shared" si="17"/>
        <v>2701409127.5</v>
      </c>
    </row>
    <row r="85" spans="1:7" ht="15">
      <c r="A85" s="133" t="s">
        <v>301</v>
      </c>
      <c r="B85" s="75">
        <v>2945241017</v>
      </c>
      <c r="C85" s="75">
        <v>-19334210</v>
      </c>
      <c r="D85" s="75">
        <v>2925906807</v>
      </c>
      <c r="E85" s="75">
        <v>1386745695.34</v>
      </c>
      <c r="F85" s="115">
        <v>1386745695.34</v>
      </c>
      <c r="G85" s="75">
        <f>D85-E85</f>
        <v>1539161111.66</v>
      </c>
    </row>
    <row r="86" spans="1:7" ht="15">
      <c r="A86" s="133" t="s">
        <v>302</v>
      </c>
      <c r="B86" s="75">
        <v>6641210</v>
      </c>
      <c r="C86" s="75">
        <v>64160</v>
      </c>
      <c r="D86" s="75">
        <v>6705370</v>
      </c>
      <c r="E86" s="75">
        <v>2959486.32</v>
      </c>
      <c r="F86" s="115">
        <v>2959486.32</v>
      </c>
      <c r="G86" s="75">
        <f aca="true" t="shared" si="18" ref="G86:G91">D86-E86</f>
        <v>3745883.68</v>
      </c>
    </row>
    <row r="87" spans="1:7" ht="15">
      <c r="A87" s="133" t="s">
        <v>303</v>
      </c>
      <c r="B87" s="75">
        <v>1003146033</v>
      </c>
      <c r="C87" s="75">
        <v>47997941</v>
      </c>
      <c r="D87" s="75">
        <v>1051143974</v>
      </c>
      <c r="E87" s="75">
        <v>505085915.96</v>
      </c>
      <c r="F87" s="115">
        <v>505085915.96</v>
      </c>
      <c r="G87" s="75">
        <f t="shared" si="18"/>
        <v>546058058.04</v>
      </c>
    </row>
    <row r="88" spans="1:7" ht="15">
      <c r="A88" s="133" t="s">
        <v>304</v>
      </c>
      <c r="B88" s="75">
        <v>473495366</v>
      </c>
      <c r="C88" s="75">
        <v>13150296</v>
      </c>
      <c r="D88" s="75">
        <v>486645662</v>
      </c>
      <c r="E88" s="75">
        <v>218743338.65</v>
      </c>
      <c r="F88" s="115">
        <v>218743338.65</v>
      </c>
      <c r="G88" s="75">
        <f t="shared" si="18"/>
        <v>267902323.35</v>
      </c>
    </row>
    <row r="89" spans="1:7" ht="15">
      <c r="A89" s="133" t="s">
        <v>305</v>
      </c>
      <c r="B89" s="75">
        <v>83883312</v>
      </c>
      <c r="C89" s="75">
        <v>21019392</v>
      </c>
      <c r="D89" s="75">
        <v>104902704</v>
      </c>
      <c r="E89" s="75">
        <v>46478633.17</v>
      </c>
      <c r="F89" s="115">
        <v>46478633.17</v>
      </c>
      <c r="G89" s="75">
        <f t="shared" si="18"/>
        <v>58424070.83</v>
      </c>
    </row>
    <row r="90" spans="1:7" ht="15">
      <c r="A90" s="133" t="s">
        <v>306</v>
      </c>
      <c r="B90" s="75">
        <v>0</v>
      </c>
      <c r="C90" s="75">
        <v>0</v>
      </c>
      <c r="D90" s="75">
        <v>0</v>
      </c>
      <c r="E90" s="75">
        <v>0</v>
      </c>
      <c r="F90" s="75">
        <v>0</v>
      </c>
      <c r="G90" s="75">
        <f t="shared" si="18"/>
        <v>0</v>
      </c>
    </row>
    <row r="91" spans="1:7" ht="15">
      <c r="A91" s="133" t="s">
        <v>307</v>
      </c>
      <c r="B91" s="75">
        <v>505646784</v>
      </c>
      <c r="C91" s="75">
        <v>-62897579</v>
      </c>
      <c r="D91" s="75">
        <v>442749205</v>
      </c>
      <c r="E91" s="75">
        <v>156631525.06</v>
      </c>
      <c r="F91" s="115">
        <v>156631525.06</v>
      </c>
      <c r="G91" s="75">
        <f t="shared" si="18"/>
        <v>286117679.94</v>
      </c>
    </row>
    <row r="92" spans="1:7" ht="15">
      <c r="A92" s="138" t="s">
        <v>308</v>
      </c>
      <c r="B92" s="75">
        <f aca="true" t="shared" si="19" ref="B92:G92">SUM(B93:B101)</f>
        <v>68329039</v>
      </c>
      <c r="C92" s="115">
        <f t="shared" si="19"/>
        <v>11768257.439999998</v>
      </c>
      <c r="D92" s="115">
        <f t="shared" si="19"/>
        <v>80097296.44000001</v>
      </c>
      <c r="E92" s="115">
        <f t="shared" si="19"/>
        <v>26708626.46</v>
      </c>
      <c r="F92" s="115">
        <f t="shared" si="19"/>
        <v>26708626.46</v>
      </c>
      <c r="G92" s="115">
        <f t="shared" si="19"/>
        <v>53388669.98</v>
      </c>
    </row>
    <row r="93" spans="1:7" ht="15">
      <c r="A93" s="133" t="s">
        <v>309</v>
      </c>
      <c r="B93" s="75">
        <v>17819794</v>
      </c>
      <c r="C93" s="75">
        <v>-11940587.03</v>
      </c>
      <c r="D93" s="75">
        <v>5879206.97</v>
      </c>
      <c r="E93" s="75">
        <v>838469.87</v>
      </c>
      <c r="F93" s="115">
        <v>838469.87</v>
      </c>
      <c r="G93" s="75">
        <f>D93-E93</f>
        <v>5040737.1</v>
      </c>
    </row>
    <row r="94" spans="1:7" ht="15">
      <c r="A94" s="133" t="s">
        <v>310</v>
      </c>
      <c r="B94" s="75">
        <v>11020868</v>
      </c>
      <c r="C94" s="75">
        <v>1194064.42</v>
      </c>
      <c r="D94" s="75">
        <v>12214932.42</v>
      </c>
      <c r="E94" s="75">
        <v>5770625.42</v>
      </c>
      <c r="F94" s="75">
        <v>5770625.42</v>
      </c>
      <c r="G94" s="115">
        <f aca="true" t="shared" si="20" ref="G94:G101">D94-E94</f>
        <v>6444307</v>
      </c>
    </row>
    <row r="95" spans="1:7" ht="15">
      <c r="A95" s="133" t="s">
        <v>311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f t="shared" si="20"/>
        <v>0</v>
      </c>
    </row>
    <row r="96" spans="1:7" ht="15">
      <c r="A96" s="133" t="s">
        <v>312</v>
      </c>
      <c r="B96" s="75">
        <v>314219</v>
      </c>
      <c r="C96" s="75">
        <v>664387.69</v>
      </c>
      <c r="D96" s="75">
        <v>978606.69</v>
      </c>
      <c r="E96" s="75">
        <v>83968.52</v>
      </c>
      <c r="F96" s="115">
        <v>83968.52</v>
      </c>
      <c r="G96" s="75">
        <f t="shared" si="20"/>
        <v>894638.1699999999</v>
      </c>
    </row>
    <row r="97" spans="1:7" ht="15">
      <c r="A97" s="139" t="s">
        <v>313</v>
      </c>
      <c r="B97" s="75">
        <v>2626937</v>
      </c>
      <c r="C97" s="75">
        <v>-504536.22</v>
      </c>
      <c r="D97" s="75">
        <v>2122400.78</v>
      </c>
      <c r="E97" s="75">
        <v>72375.03</v>
      </c>
      <c r="F97" s="115">
        <v>72375.03</v>
      </c>
      <c r="G97" s="75">
        <f t="shared" si="20"/>
        <v>2050025.7499999998</v>
      </c>
    </row>
    <row r="98" spans="1:7" ht="15">
      <c r="A98" s="133" t="s">
        <v>314</v>
      </c>
      <c r="B98" s="75">
        <v>3122562</v>
      </c>
      <c r="C98" s="75">
        <v>930422.28</v>
      </c>
      <c r="D98" s="75">
        <v>4052984.28</v>
      </c>
      <c r="E98" s="75">
        <v>2209153.38</v>
      </c>
      <c r="F98" s="115">
        <v>2209153.38</v>
      </c>
      <c r="G98" s="75">
        <f t="shared" si="20"/>
        <v>1843830.9</v>
      </c>
    </row>
    <row r="99" spans="1:7" ht="15">
      <c r="A99" s="133" t="s">
        <v>315</v>
      </c>
      <c r="B99" s="75">
        <v>29503300</v>
      </c>
      <c r="C99" s="75">
        <v>8660215.54</v>
      </c>
      <c r="D99" s="75">
        <v>38163515.54</v>
      </c>
      <c r="E99" s="75">
        <v>10570409.03</v>
      </c>
      <c r="F99" s="115">
        <v>10570409.03</v>
      </c>
      <c r="G99" s="75">
        <f t="shared" si="20"/>
        <v>27593106.509999998</v>
      </c>
    </row>
    <row r="100" spans="1:7" ht="15">
      <c r="A100" s="133" t="s">
        <v>316</v>
      </c>
      <c r="B100" s="75">
        <v>2715000</v>
      </c>
      <c r="C100" s="75">
        <v>12509939.81</v>
      </c>
      <c r="D100" s="75">
        <v>15224939.81</v>
      </c>
      <c r="E100" s="75">
        <v>6435705.36</v>
      </c>
      <c r="F100" s="115">
        <v>6435705.36</v>
      </c>
      <c r="G100" s="75">
        <f t="shared" si="20"/>
        <v>8789234.45</v>
      </c>
    </row>
    <row r="101" spans="1:7" ht="15">
      <c r="A101" s="133" t="s">
        <v>317</v>
      </c>
      <c r="B101" s="75">
        <v>1206359</v>
      </c>
      <c r="C101" s="75">
        <v>254350.95</v>
      </c>
      <c r="D101" s="75">
        <v>1460709.95</v>
      </c>
      <c r="E101" s="75">
        <v>727919.85</v>
      </c>
      <c r="F101" s="115">
        <v>727919.85</v>
      </c>
      <c r="G101" s="75">
        <f t="shared" si="20"/>
        <v>732790.1</v>
      </c>
    </row>
    <row r="102" spans="1:7" ht="15">
      <c r="A102" s="138" t="s">
        <v>318</v>
      </c>
      <c r="B102" s="75">
        <f aca="true" t="shared" si="21" ref="B102:G102">SUM(B103:B111)</f>
        <v>268162877</v>
      </c>
      <c r="C102" s="75">
        <f t="shared" si="21"/>
        <v>127732052.01</v>
      </c>
      <c r="D102" s="75">
        <f t="shared" si="21"/>
        <v>395894929.01</v>
      </c>
      <c r="E102" s="75">
        <f t="shared" si="21"/>
        <v>184866965.27</v>
      </c>
      <c r="F102" s="75">
        <f t="shared" si="21"/>
        <v>184866965.27</v>
      </c>
      <c r="G102" s="75">
        <f t="shared" si="21"/>
        <v>211027963.74</v>
      </c>
    </row>
    <row r="103" spans="1:7" ht="15">
      <c r="A103" s="133" t="s">
        <v>319</v>
      </c>
      <c r="B103" s="75">
        <v>68457006</v>
      </c>
      <c r="C103" s="75">
        <v>18775418.14</v>
      </c>
      <c r="D103" s="75">
        <v>87232424.14</v>
      </c>
      <c r="E103" s="75">
        <v>39294833.25</v>
      </c>
      <c r="F103" s="115">
        <v>39294833.25</v>
      </c>
      <c r="G103" s="75">
        <f>D103-E103</f>
        <v>47937590.89</v>
      </c>
    </row>
    <row r="104" spans="1:7" ht="15">
      <c r="A104" s="133" t="s">
        <v>320</v>
      </c>
      <c r="B104" s="75">
        <v>10324300</v>
      </c>
      <c r="C104" s="75">
        <v>961857.72</v>
      </c>
      <c r="D104" s="75">
        <v>11286157.72</v>
      </c>
      <c r="E104" s="75">
        <v>5149383.72</v>
      </c>
      <c r="F104" s="115">
        <v>5149383.72</v>
      </c>
      <c r="G104" s="75">
        <f aca="true" t="shared" si="22" ref="G104:G111">D104-E104</f>
        <v>6136774.000000001</v>
      </c>
    </row>
    <row r="105" spans="1:7" ht="15">
      <c r="A105" s="133" t="s">
        <v>321</v>
      </c>
      <c r="B105" s="75">
        <v>31499432</v>
      </c>
      <c r="C105" s="75">
        <v>7799498.12</v>
      </c>
      <c r="D105" s="75">
        <v>39298930.12</v>
      </c>
      <c r="E105" s="75">
        <v>11162052.88</v>
      </c>
      <c r="F105" s="115">
        <v>11162052.88</v>
      </c>
      <c r="G105" s="75">
        <f t="shared" si="22"/>
        <v>28136877.239999995</v>
      </c>
    </row>
    <row r="106" spans="1:7" ht="15">
      <c r="A106" s="133" t="s">
        <v>322</v>
      </c>
      <c r="B106" s="75">
        <v>424350</v>
      </c>
      <c r="C106" s="75">
        <v>-128912.78</v>
      </c>
      <c r="D106" s="75">
        <v>295437.22</v>
      </c>
      <c r="E106" s="75">
        <v>215237.22</v>
      </c>
      <c r="F106" s="115">
        <v>215237.22</v>
      </c>
      <c r="G106" s="75">
        <f t="shared" si="22"/>
        <v>80199.99999999997</v>
      </c>
    </row>
    <row r="107" spans="1:7" ht="15">
      <c r="A107" s="133" t="s">
        <v>323</v>
      </c>
      <c r="B107" s="75">
        <v>148420685</v>
      </c>
      <c r="C107" s="75">
        <v>102719754.94</v>
      </c>
      <c r="D107" s="75">
        <v>251140439.94</v>
      </c>
      <c r="E107" s="75">
        <v>126967414.33</v>
      </c>
      <c r="F107" s="115">
        <v>126967414.33</v>
      </c>
      <c r="G107" s="75">
        <f t="shared" si="22"/>
        <v>124173025.61</v>
      </c>
    </row>
    <row r="108" spans="1:7" ht="15">
      <c r="A108" s="133" t="s">
        <v>324</v>
      </c>
      <c r="B108" s="75">
        <v>662235</v>
      </c>
      <c r="C108" s="75">
        <v>-239575.04</v>
      </c>
      <c r="D108" s="75">
        <v>422659.96</v>
      </c>
      <c r="E108" s="75">
        <v>140284.96</v>
      </c>
      <c r="F108" s="115">
        <v>140284.96</v>
      </c>
      <c r="G108" s="75">
        <f t="shared" si="22"/>
        <v>282375</v>
      </c>
    </row>
    <row r="109" spans="1:7" ht="15">
      <c r="A109" s="133" t="s">
        <v>325</v>
      </c>
      <c r="B109" s="75">
        <v>3983601</v>
      </c>
      <c r="C109" s="75">
        <v>-1457135.02</v>
      </c>
      <c r="D109" s="75">
        <v>2526465.98</v>
      </c>
      <c r="E109" s="75">
        <v>558422.98</v>
      </c>
      <c r="F109" s="115">
        <v>558422.98</v>
      </c>
      <c r="G109" s="75">
        <f t="shared" si="22"/>
        <v>1968043</v>
      </c>
    </row>
    <row r="110" spans="1:7" ht="15">
      <c r="A110" s="133" t="s">
        <v>326</v>
      </c>
      <c r="B110" s="75">
        <v>4114730</v>
      </c>
      <c r="C110" s="75">
        <v>-571228.07</v>
      </c>
      <c r="D110" s="75">
        <v>3543501.93</v>
      </c>
      <c r="E110" s="75">
        <v>1306691.93</v>
      </c>
      <c r="F110" s="115">
        <v>1306691.93</v>
      </c>
      <c r="G110" s="75">
        <f t="shared" si="22"/>
        <v>2236810</v>
      </c>
    </row>
    <row r="111" spans="1:7" ht="15">
      <c r="A111" s="133" t="s">
        <v>327</v>
      </c>
      <c r="B111" s="75">
        <v>276538</v>
      </c>
      <c r="C111" s="75">
        <v>-127626</v>
      </c>
      <c r="D111" s="75">
        <v>148912</v>
      </c>
      <c r="E111" s="75">
        <v>72644</v>
      </c>
      <c r="F111" s="115">
        <v>72644</v>
      </c>
      <c r="G111" s="75">
        <f t="shared" si="22"/>
        <v>76268</v>
      </c>
    </row>
    <row r="112" spans="1:7" ht="15">
      <c r="A112" s="138" t="s">
        <v>328</v>
      </c>
      <c r="B112" s="75">
        <f aca="true" t="shared" si="23" ref="B112:G112">SUM(B113:B121)</f>
        <v>4126946360</v>
      </c>
      <c r="C112" s="75">
        <f t="shared" si="23"/>
        <v>896462760.85</v>
      </c>
      <c r="D112" s="75">
        <f t="shared" si="23"/>
        <v>5023409120.849999</v>
      </c>
      <c r="E112" s="75">
        <f t="shared" si="23"/>
        <v>2395898479.99</v>
      </c>
      <c r="F112" s="75">
        <f t="shared" si="23"/>
        <v>2395898479.99</v>
      </c>
      <c r="G112" s="75">
        <f t="shared" si="23"/>
        <v>2627510640.8599997</v>
      </c>
    </row>
    <row r="113" spans="1:7" ht="15">
      <c r="A113" s="133" t="s">
        <v>329</v>
      </c>
      <c r="B113" s="75">
        <v>0</v>
      </c>
      <c r="C113" s="75">
        <v>0</v>
      </c>
      <c r="D113" s="75">
        <v>0</v>
      </c>
      <c r="E113" s="75">
        <v>0</v>
      </c>
      <c r="F113" s="75">
        <v>0</v>
      </c>
      <c r="G113" s="75">
        <f>D113-E113</f>
        <v>0</v>
      </c>
    </row>
    <row r="114" spans="1:7" ht="15">
      <c r="A114" s="133" t="s">
        <v>330</v>
      </c>
      <c r="B114" s="75">
        <v>4124946360</v>
      </c>
      <c r="C114" s="75">
        <v>870150544.23</v>
      </c>
      <c r="D114" s="75">
        <v>4995096904.23</v>
      </c>
      <c r="E114" s="75">
        <v>2384840649.87</v>
      </c>
      <c r="F114" s="115">
        <v>2384840649.87</v>
      </c>
      <c r="G114" s="75">
        <f aca="true" t="shared" si="24" ref="G114:G121">D114-E114</f>
        <v>2610256254.3599997</v>
      </c>
    </row>
    <row r="115" spans="1:7" ht="15">
      <c r="A115" s="133" t="s">
        <v>331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si="24"/>
        <v>0</v>
      </c>
    </row>
    <row r="116" spans="1:7" ht="15">
      <c r="A116" s="140" t="s">
        <v>332</v>
      </c>
      <c r="B116" s="111">
        <v>2000000</v>
      </c>
      <c r="C116" s="111">
        <v>-263633.8</v>
      </c>
      <c r="D116" s="111">
        <v>1736366.2</v>
      </c>
      <c r="E116" s="111">
        <v>1556366.2</v>
      </c>
      <c r="F116" s="111">
        <v>1556366.2</v>
      </c>
      <c r="G116" s="111">
        <f t="shared" si="24"/>
        <v>180000</v>
      </c>
    </row>
    <row r="117" spans="1:7" ht="15">
      <c r="A117" s="133" t="s">
        <v>333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24"/>
        <v>0</v>
      </c>
    </row>
    <row r="118" spans="1:7" ht="15">
      <c r="A118" s="133" t="s">
        <v>334</v>
      </c>
      <c r="B118" s="75">
        <v>0</v>
      </c>
      <c r="C118" s="75">
        <v>26575850.42</v>
      </c>
      <c r="D118" s="75">
        <v>26575850.42</v>
      </c>
      <c r="E118" s="75">
        <v>9501463.92</v>
      </c>
      <c r="F118" s="75">
        <v>9501463.92</v>
      </c>
      <c r="G118" s="75">
        <f t="shared" si="24"/>
        <v>17074386.5</v>
      </c>
    </row>
    <row r="119" spans="1:7" ht="15">
      <c r="A119" s="133" t="s">
        <v>335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24"/>
        <v>0</v>
      </c>
    </row>
    <row r="120" spans="1:7" ht="15">
      <c r="A120" s="133" t="s">
        <v>336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24"/>
        <v>0</v>
      </c>
    </row>
    <row r="121" spans="1:7" ht="15">
      <c r="A121" s="133" t="s">
        <v>337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24"/>
        <v>0</v>
      </c>
    </row>
    <row r="122" spans="1:7" ht="15">
      <c r="A122" s="138" t="s">
        <v>338</v>
      </c>
      <c r="B122" s="75">
        <f aca="true" t="shared" si="25" ref="B122:G122">SUM(B123:B131)</f>
        <v>114987018</v>
      </c>
      <c r="C122" s="75">
        <f t="shared" si="25"/>
        <v>53683368.9</v>
      </c>
      <c r="D122" s="75">
        <f t="shared" si="25"/>
        <v>168670386.89999998</v>
      </c>
      <c r="E122" s="75">
        <f t="shared" si="25"/>
        <v>29306484.21</v>
      </c>
      <c r="F122" s="75">
        <f t="shared" si="25"/>
        <v>29306484.21</v>
      </c>
      <c r="G122" s="75">
        <f t="shared" si="25"/>
        <v>139363902.69</v>
      </c>
    </row>
    <row r="123" spans="1:7" ht="15">
      <c r="A123" s="133" t="s">
        <v>339</v>
      </c>
      <c r="B123" s="75">
        <v>24126015</v>
      </c>
      <c r="C123" s="75">
        <v>-1421535.91</v>
      </c>
      <c r="D123" s="75">
        <v>22704479.09</v>
      </c>
      <c r="E123" s="75">
        <v>7386707.39</v>
      </c>
      <c r="F123" s="115">
        <v>7386707.39</v>
      </c>
      <c r="G123" s="75">
        <f>D123-E123</f>
        <v>15317771.7</v>
      </c>
    </row>
    <row r="124" spans="1:7" ht="15">
      <c r="A124" s="133" t="s">
        <v>340</v>
      </c>
      <c r="B124" s="75">
        <v>5289547</v>
      </c>
      <c r="C124" s="75">
        <v>2366520.18</v>
      </c>
      <c r="D124" s="75">
        <v>7656067.18</v>
      </c>
      <c r="E124" s="75">
        <v>791709.1</v>
      </c>
      <c r="F124" s="115">
        <v>791709.1</v>
      </c>
      <c r="G124" s="75">
        <f aca="true" t="shared" si="26" ref="G124:G131">D124-E124</f>
        <v>6864358.08</v>
      </c>
    </row>
    <row r="125" spans="1:7" ht="15">
      <c r="A125" s="133" t="s">
        <v>341</v>
      </c>
      <c r="B125" s="75">
        <v>202500</v>
      </c>
      <c r="C125" s="75">
        <v>5036014.4</v>
      </c>
      <c r="D125" s="75">
        <v>5238514.4</v>
      </c>
      <c r="E125" s="75">
        <v>152701.48</v>
      </c>
      <c r="F125" s="115">
        <v>152701.48</v>
      </c>
      <c r="G125" s="75">
        <f t="shared" si="26"/>
        <v>5085812.92</v>
      </c>
    </row>
    <row r="126" spans="1:7" ht="15">
      <c r="A126" s="133" t="s">
        <v>342</v>
      </c>
      <c r="B126" s="75">
        <v>38496900</v>
      </c>
      <c r="C126" s="75">
        <v>46081018</v>
      </c>
      <c r="D126" s="75">
        <v>84577918</v>
      </c>
      <c r="E126" s="75">
        <v>3524127.74</v>
      </c>
      <c r="F126" s="115">
        <v>3524127.74</v>
      </c>
      <c r="G126" s="75">
        <f t="shared" si="26"/>
        <v>81053790.26</v>
      </c>
    </row>
    <row r="127" spans="1:7" ht="15">
      <c r="A127" s="133" t="s">
        <v>343</v>
      </c>
      <c r="B127" s="75">
        <v>11905000</v>
      </c>
      <c r="C127" s="75">
        <v>-2686772</v>
      </c>
      <c r="D127" s="75">
        <v>9218228</v>
      </c>
      <c r="E127" s="75">
        <v>2439753.69</v>
      </c>
      <c r="F127" s="115">
        <v>2439753.69</v>
      </c>
      <c r="G127" s="75">
        <f t="shared" si="26"/>
        <v>6778474.3100000005</v>
      </c>
    </row>
    <row r="128" spans="1:7" ht="15">
      <c r="A128" s="133" t="s">
        <v>344</v>
      </c>
      <c r="B128" s="75">
        <v>32289816</v>
      </c>
      <c r="C128" s="75">
        <v>-2899103.88</v>
      </c>
      <c r="D128" s="75">
        <v>29390712.12</v>
      </c>
      <c r="E128" s="75">
        <v>11901868.21</v>
      </c>
      <c r="F128" s="115">
        <v>11901868.21</v>
      </c>
      <c r="G128" s="75">
        <f t="shared" si="26"/>
        <v>17488843.91</v>
      </c>
    </row>
    <row r="129" spans="1:7" ht="15">
      <c r="A129" s="133" t="s">
        <v>345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26"/>
        <v>0</v>
      </c>
    </row>
    <row r="130" spans="1:7" ht="15">
      <c r="A130" s="133" t="s">
        <v>346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26"/>
        <v>0</v>
      </c>
    </row>
    <row r="131" spans="1:7" ht="15">
      <c r="A131" s="133" t="s">
        <v>347</v>
      </c>
      <c r="B131" s="75">
        <v>2677240</v>
      </c>
      <c r="C131" s="75">
        <v>7207228.11</v>
      </c>
      <c r="D131" s="75">
        <v>9884468.11</v>
      </c>
      <c r="E131" s="75">
        <v>3109616.6</v>
      </c>
      <c r="F131" s="115">
        <v>3109616.6</v>
      </c>
      <c r="G131" s="75">
        <f t="shared" si="26"/>
        <v>6774851.51</v>
      </c>
    </row>
    <row r="132" spans="1:7" ht="15">
      <c r="A132" s="138" t="s">
        <v>348</v>
      </c>
      <c r="B132" s="75">
        <f aca="true" t="shared" si="27" ref="B132:G132">SUM(B133:B135)</f>
        <v>510243178</v>
      </c>
      <c r="C132" s="75">
        <f t="shared" si="27"/>
        <v>124608568.66</v>
      </c>
      <c r="D132" s="75">
        <f t="shared" si="27"/>
        <v>634851746.66</v>
      </c>
      <c r="E132" s="75">
        <f t="shared" si="27"/>
        <v>137428486.78</v>
      </c>
      <c r="F132" s="75">
        <f t="shared" si="27"/>
        <v>137428486.78</v>
      </c>
      <c r="G132" s="75">
        <f t="shared" si="27"/>
        <v>497423259.87999994</v>
      </c>
    </row>
    <row r="133" spans="1:7" ht="15">
      <c r="A133" s="133" t="s">
        <v>349</v>
      </c>
      <c r="B133" s="75">
        <v>462154752</v>
      </c>
      <c r="C133" s="75">
        <v>128403161.56</v>
      </c>
      <c r="D133" s="75">
        <v>590557913.56</v>
      </c>
      <c r="E133" s="75">
        <v>133134653.68</v>
      </c>
      <c r="F133" s="115">
        <v>133134653.68</v>
      </c>
      <c r="G133" s="75">
        <f>D133-E133</f>
        <v>457423259.87999994</v>
      </c>
    </row>
    <row r="134" spans="1:7" ht="15">
      <c r="A134" s="133" t="s">
        <v>350</v>
      </c>
      <c r="B134" s="75">
        <v>48088426</v>
      </c>
      <c r="C134" s="75">
        <v>-3794592.9</v>
      </c>
      <c r="D134" s="75">
        <v>44293833.1</v>
      </c>
      <c r="E134" s="75">
        <v>4293833.1</v>
      </c>
      <c r="F134" s="115">
        <v>4293833.1</v>
      </c>
      <c r="G134" s="75">
        <f>D134-E134</f>
        <v>40000000</v>
      </c>
    </row>
    <row r="135" spans="1:7" ht="15">
      <c r="A135" s="133" t="s">
        <v>351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>D135-E135</f>
        <v>0</v>
      </c>
    </row>
    <row r="136" spans="1:7" ht="15">
      <c r="A136" s="138" t="s">
        <v>352</v>
      </c>
      <c r="B136" s="75">
        <f aca="true" t="shared" si="28" ref="B136:G136">SUM(B137:B141,B143:B144)</f>
        <v>0</v>
      </c>
      <c r="C136" s="75" t="s">
        <v>470</v>
      </c>
      <c r="D136" s="75">
        <f t="shared" si="28"/>
        <v>0</v>
      </c>
      <c r="E136" s="75">
        <f t="shared" si="28"/>
        <v>0</v>
      </c>
      <c r="F136" s="75">
        <f t="shared" si="28"/>
        <v>0</v>
      </c>
      <c r="G136" s="75">
        <f t="shared" si="28"/>
        <v>0</v>
      </c>
    </row>
    <row r="137" spans="1:7" ht="15">
      <c r="A137" s="133" t="s">
        <v>353</v>
      </c>
      <c r="B137" s="75">
        <v>0</v>
      </c>
      <c r="C137" s="75">
        <v>0</v>
      </c>
      <c r="D137" s="75">
        <v>0</v>
      </c>
      <c r="E137" s="75">
        <v>0</v>
      </c>
      <c r="F137" s="75">
        <v>0</v>
      </c>
      <c r="G137" s="75">
        <f>D137-E137</f>
        <v>0</v>
      </c>
    </row>
    <row r="138" spans="1:7" ht="15">
      <c r="A138" s="133" t="s">
        <v>354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 aca="true" t="shared" si="29" ref="G138:G144">D138-E138</f>
        <v>0</v>
      </c>
    </row>
    <row r="139" spans="1:7" ht="15">
      <c r="A139" s="133" t="s">
        <v>355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si="29"/>
        <v>0</v>
      </c>
    </row>
    <row r="140" spans="1:7" ht="15">
      <c r="A140" s="133" t="s">
        <v>356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29"/>
        <v>0</v>
      </c>
    </row>
    <row r="141" spans="1:7" ht="15">
      <c r="A141" s="133" t="s">
        <v>357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29"/>
        <v>0</v>
      </c>
    </row>
    <row r="142" spans="1:7" ht="15">
      <c r="A142" s="133" t="s">
        <v>358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29"/>
        <v>0</v>
      </c>
    </row>
    <row r="143" spans="1:7" ht="15">
      <c r="A143" s="133" t="s">
        <v>359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29"/>
        <v>0</v>
      </c>
    </row>
    <row r="144" spans="1:7" ht="15">
      <c r="A144" s="133" t="s">
        <v>360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29"/>
        <v>0</v>
      </c>
    </row>
    <row r="145" spans="1:7" ht="15">
      <c r="A145" s="138" t="s">
        <v>361</v>
      </c>
      <c r="B145" s="75">
        <f aca="true" t="shared" si="30" ref="B145:G145">SUM(B146:B148)</f>
        <v>2159249916</v>
      </c>
      <c r="C145" s="75">
        <f t="shared" si="30"/>
        <v>79535183.35</v>
      </c>
      <c r="D145" s="75">
        <f t="shared" si="30"/>
        <v>2238785099.35</v>
      </c>
      <c r="E145" s="75">
        <f t="shared" si="30"/>
        <v>1236799970.84</v>
      </c>
      <c r="F145" s="75">
        <f t="shared" si="30"/>
        <v>1236799970.84</v>
      </c>
      <c r="G145" s="75">
        <f t="shared" si="30"/>
        <v>1001985128.51</v>
      </c>
    </row>
    <row r="146" spans="1:7" ht="15">
      <c r="A146" s="133" t="s">
        <v>362</v>
      </c>
      <c r="B146" s="75">
        <v>0</v>
      </c>
      <c r="C146" s="75">
        <v>0</v>
      </c>
      <c r="D146" s="75">
        <v>0</v>
      </c>
      <c r="E146" s="75">
        <v>0</v>
      </c>
      <c r="F146" s="75">
        <v>0</v>
      </c>
      <c r="G146" s="75">
        <f>D146-E146</f>
        <v>0</v>
      </c>
    </row>
    <row r="147" spans="1:7" ht="15">
      <c r="A147" s="133" t="s">
        <v>363</v>
      </c>
      <c r="B147" s="75">
        <v>2061182027</v>
      </c>
      <c r="C147" s="75">
        <v>-4316388</v>
      </c>
      <c r="D147" s="75">
        <v>2056865639</v>
      </c>
      <c r="E147" s="75">
        <v>1151624634</v>
      </c>
      <c r="F147" s="115">
        <v>1151624634</v>
      </c>
      <c r="G147" s="115">
        <f>D147-E147</f>
        <v>905241005</v>
      </c>
    </row>
    <row r="148" spans="1:7" ht="15">
      <c r="A148" s="133" t="s">
        <v>364</v>
      </c>
      <c r="B148" s="75">
        <v>98067889</v>
      </c>
      <c r="C148" s="75">
        <v>83851571.35</v>
      </c>
      <c r="D148" s="75">
        <v>181919460.35</v>
      </c>
      <c r="E148" s="75">
        <v>85175336.84</v>
      </c>
      <c r="F148" s="115">
        <v>85175336.84</v>
      </c>
      <c r="G148" s="75">
        <f>D148-E148</f>
        <v>96744123.50999999</v>
      </c>
    </row>
    <row r="149" spans="1:7" ht="15">
      <c r="A149" s="138" t="s">
        <v>365</v>
      </c>
      <c r="B149" s="75">
        <f aca="true" t="shared" si="31" ref="B149:G149">SUM(B150:B156)</f>
        <v>0</v>
      </c>
      <c r="C149" s="75">
        <f t="shared" si="31"/>
        <v>0</v>
      </c>
      <c r="D149" s="75">
        <f t="shared" si="31"/>
        <v>0</v>
      </c>
      <c r="E149" s="75">
        <f t="shared" si="31"/>
        <v>0</v>
      </c>
      <c r="F149" s="75">
        <f t="shared" si="31"/>
        <v>0</v>
      </c>
      <c r="G149" s="75">
        <f t="shared" si="31"/>
        <v>0</v>
      </c>
    </row>
    <row r="150" spans="1:7" ht="15">
      <c r="A150" s="133" t="s">
        <v>366</v>
      </c>
      <c r="B150" s="75">
        <v>0</v>
      </c>
      <c r="C150" s="75">
        <v>0</v>
      </c>
      <c r="D150" s="75">
        <v>0</v>
      </c>
      <c r="E150" s="75">
        <v>0</v>
      </c>
      <c r="F150" s="75">
        <v>0</v>
      </c>
      <c r="G150" s="75">
        <f>D150-E150</f>
        <v>0</v>
      </c>
    </row>
    <row r="151" spans="1:7" ht="15">
      <c r="A151" s="133" t="s">
        <v>367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 aca="true" t="shared" si="32" ref="G151:G156">D151-E151</f>
        <v>0</v>
      </c>
    </row>
    <row r="152" spans="1:7" ht="15">
      <c r="A152" s="133" t="s">
        <v>368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si="32"/>
        <v>0</v>
      </c>
    </row>
    <row r="153" spans="1:7" ht="15">
      <c r="A153" s="139" t="s">
        <v>369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2"/>
        <v>0</v>
      </c>
    </row>
    <row r="154" spans="1:7" ht="15">
      <c r="A154" s="133" t="s">
        <v>370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2"/>
        <v>0</v>
      </c>
    </row>
    <row r="155" spans="1:7" ht="15">
      <c r="A155" s="133" t="s">
        <v>371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2"/>
        <v>0</v>
      </c>
    </row>
    <row r="156" spans="1:7" ht="15">
      <c r="A156" s="133" t="s">
        <v>372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2"/>
        <v>0</v>
      </c>
    </row>
    <row r="157" spans="1:7" ht="15">
      <c r="A157" s="21"/>
      <c r="B157" s="76"/>
      <c r="C157" s="76"/>
      <c r="D157" s="76"/>
      <c r="E157" s="76"/>
      <c r="F157" s="76"/>
      <c r="G157" s="76"/>
    </row>
    <row r="158" spans="1:7" ht="15">
      <c r="A158" s="141" t="s">
        <v>374</v>
      </c>
      <c r="B158" s="77">
        <f aca="true" t="shared" si="33" ref="B158:G158">B9+B83</f>
        <v>24826718921</v>
      </c>
      <c r="C158" s="77">
        <f t="shared" si="33"/>
        <v>1910449185.31</v>
      </c>
      <c r="D158" s="77">
        <f t="shared" si="33"/>
        <v>26737168106.309998</v>
      </c>
      <c r="E158" s="77">
        <f t="shared" si="33"/>
        <v>12168253853.48</v>
      </c>
      <c r="F158" s="77">
        <f t="shared" si="33"/>
        <v>12162086255.48</v>
      </c>
      <c r="G158" s="77">
        <f t="shared" si="33"/>
        <v>14568914252.83</v>
      </c>
    </row>
    <row r="159" spans="1:256" ht="15">
      <c r="A159" s="4"/>
      <c r="B159" s="105"/>
      <c r="C159" s="105"/>
      <c r="D159" s="105"/>
      <c r="E159" s="105"/>
      <c r="F159" s="105"/>
      <c r="G159" s="105"/>
      <c r="IV159" s="110"/>
    </row>
    <row r="160" spans="2:7" ht="15">
      <c r="B160" s="79"/>
      <c r="C160" s="79"/>
      <c r="D160" s="79"/>
      <c r="E160" s="79"/>
      <c r="F160" s="79"/>
      <c r="G160" s="79"/>
    </row>
    <row r="161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B9:B66 B68:G158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4" r:id="rId1"/>
  <ignoredErrors>
    <ignoredError sqref="B9:C9 G11:G12 G19:G27 B18:F18 B28:F28 G29:G37 B38:F38 B48:F48 G55:G57 G59:G62 G63:G67 B70:F70 B74 G71:G73 B83 G96:G101 B102:F102 G103:G111 G113:G119 B112:F112 B122:F122 G120:G121 G123:G131 B132:F132 B136 G134:G135 G137:G138 G139:G144 G146:G147 B145:F145 B149:F149 G150:G156 B158:G158 G68:G69 B62:D62 B92 B10 D10:E10 D9:G9 E62:F62 G10 G13:G17 D136:F136 D74:F74 E83:G83 C92 G93 G86:G91 C83 G78:G81 G75:G77 C74 C82:G82 G85 D83 D92:E92 G84 G95 G148" unlockedFormula="1"/>
    <ignoredError sqref="G18 G28 G38 G39:G54 G58 B58:C58 G70 G102 G122 G133 G132 G136 G145 G149 G112 E58:F58 F92:G92 G74 B84 C84:F84" formula="1" unlockedFormula="1"/>
    <ignoredError sqref="B84 C84:F84" formulaRange="1" unlockedFormula="1"/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80" zoomScaleNormal="80" zoomScalePageLayoutView="0" workbookViewId="0" topLeftCell="A41">
      <selection activeCell="A10" activeCellId="1" sqref="A38:A63 A10:A35"/>
    </sheetView>
  </sheetViews>
  <sheetFormatPr defaultColWidth="0.85546875" defaultRowHeight="15" zeroHeight="1"/>
  <cols>
    <col min="1" max="1" width="59.28125" style="32" customWidth="1"/>
    <col min="2" max="6" width="20.7109375" style="32" customWidth="1"/>
    <col min="7" max="7" width="18.28125" style="32" customWidth="1"/>
    <col min="8" max="255" width="11.421875" style="0" hidden="1" customWidth="1"/>
  </cols>
  <sheetData>
    <row r="1" spans="1:7" ht="21">
      <c r="A1" s="168" t="s">
        <v>375</v>
      </c>
      <c r="B1" s="168"/>
      <c r="C1" s="168"/>
      <c r="D1" s="168"/>
      <c r="E1" s="168"/>
      <c r="F1" s="168"/>
      <c r="G1" s="168"/>
    </row>
    <row r="2" spans="1:7" ht="15">
      <c r="A2" s="146" t="s">
        <v>289</v>
      </c>
      <c r="B2" s="147"/>
      <c r="C2" s="147"/>
      <c r="D2" s="147"/>
      <c r="E2" s="147"/>
      <c r="F2" s="147"/>
      <c r="G2" s="148"/>
    </row>
    <row r="3" spans="1:7" ht="15">
      <c r="A3" s="149" t="s">
        <v>291</v>
      </c>
      <c r="B3" s="150"/>
      <c r="C3" s="150"/>
      <c r="D3" s="150"/>
      <c r="E3" s="150"/>
      <c r="F3" s="150"/>
      <c r="G3" s="151"/>
    </row>
    <row r="4" spans="1:7" ht="15">
      <c r="A4" s="149" t="s">
        <v>376</v>
      </c>
      <c r="B4" s="150"/>
      <c r="C4" s="150"/>
      <c r="D4" s="150"/>
      <c r="E4" s="150"/>
      <c r="F4" s="150"/>
      <c r="G4" s="151"/>
    </row>
    <row r="5" spans="1:7" ht="15">
      <c r="A5" s="152" t="s">
        <v>479</v>
      </c>
      <c r="B5" s="153"/>
      <c r="C5" s="153"/>
      <c r="D5" s="153"/>
      <c r="E5" s="153"/>
      <c r="F5" s="153"/>
      <c r="G5" s="154"/>
    </row>
    <row r="6" spans="1:7" ht="15">
      <c r="A6" s="155" t="s">
        <v>2</v>
      </c>
      <c r="B6" s="156"/>
      <c r="C6" s="156"/>
      <c r="D6" s="156"/>
      <c r="E6" s="156"/>
      <c r="F6" s="156"/>
      <c r="G6" s="157"/>
    </row>
    <row r="7" spans="1:7" ht="15">
      <c r="A7" s="162" t="s">
        <v>4</v>
      </c>
      <c r="B7" s="164" t="s">
        <v>293</v>
      </c>
      <c r="C7" s="164"/>
      <c r="D7" s="164"/>
      <c r="E7" s="164"/>
      <c r="F7" s="164"/>
      <c r="G7" s="167" t="s">
        <v>294</v>
      </c>
    </row>
    <row r="8" spans="1:7" ht="30">
      <c r="A8" s="163"/>
      <c r="B8" s="17" t="s">
        <v>295</v>
      </c>
      <c r="C8" s="6" t="s">
        <v>226</v>
      </c>
      <c r="D8" s="17" t="s">
        <v>227</v>
      </c>
      <c r="E8" s="17" t="s">
        <v>182</v>
      </c>
      <c r="F8" s="17" t="s">
        <v>199</v>
      </c>
      <c r="G8" s="166"/>
    </row>
    <row r="9" spans="1:7" ht="15">
      <c r="A9" s="132" t="s">
        <v>377</v>
      </c>
      <c r="B9" s="95">
        <f>SUM(B10:GASTO_NE_FIN_01)</f>
        <v>12560746811</v>
      </c>
      <c r="C9" s="95">
        <f>SUM(C10:GASTO_NE_FIN_02)</f>
        <v>616658994.1</v>
      </c>
      <c r="D9" s="95">
        <f>SUM(D10:GASTO_NE_FIN_03)</f>
        <v>13177405805.1</v>
      </c>
      <c r="E9" s="95">
        <f>SUM(E10:GASTO_NE_FIN_04)</f>
        <v>5840600245.43</v>
      </c>
      <c r="F9" s="95">
        <f>SUM(F10:cvbcvb)</f>
        <v>5834432647.43</v>
      </c>
      <c r="G9" s="95">
        <f>SUM(G10:GASTO_NE_FIN_06)</f>
        <v>7336805559.67</v>
      </c>
    </row>
    <row r="10" spans="1:7" ht="30">
      <c r="A10" s="142" t="s">
        <v>458</v>
      </c>
      <c r="B10" s="75">
        <v>178799805</v>
      </c>
      <c r="C10" s="75">
        <v>40413241.01</v>
      </c>
      <c r="D10" s="75">
        <v>219213046.01</v>
      </c>
      <c r="E10" s="75">
        <v>85922734.69</v>
      </c>
      <c r="F10" s="115">
        <v>85712547.92</v>
      </c>
      <c r="G10" s="75">
        <f>+D10-E10</f>
        <v>133290311.32</v>
      </c>
    </row>
    <row r="11" spans="1:7" ht="15">
      <c r="A11" s="131" t="s">
        <v>459</v>
      </c>
      <c r="B11" s="75">
        <v>439632866</v>
      </c>
      <c r="C11" s="75">
        <v>-13841535.7</v>
      </c>
      <c r="D11" s="75">
        <v>425791330.3</v>
      </c>
      <c r="E11" s="75">
        <v>177562093.62</v>
      </c>
      <c r="F11" s="115">
        <v>177075917.78</v>
      </c>
      <c r="G11" s="113">
        <f aca="true" t="shared" si="0" ref="G11:G35">+D11-E11</f>
        <v>248229236.68</v>
      </c>
    </row>
    <row r="12" spans="1:7" ht="15">
      <c r="A12" s="131" t="s">
        <v>460</v>
      </c>
      <c r="B12" s="75">
        <v>782141897</v>
      </c>
      <c r="C12" s="75">
        <v>-904381.34</v>
      </c>
      <c r="D12" s="75">
        <v>781237515.66</v>
      </c>
      <c r="E12" s="75">
        <v>227770710.45</v>
      </c>
      <c r="F12" s="115">
        <v>227209845</v>
      </c>
      <c r="G12" s="113">
        <f t="shared" si="0"/>
        <v>553466805.21</v>
      </c>
    </row>
    <row r="13" spans="1:7" ht="30">
      <c r="A13" s="142" t="s">
        <v>461</v>
      </c>
      <c r="B13" s="75">
        <v>46702556</v>
      </c>
      <c r="C13" s="75">
        <v>1247211.99</v>
      </c>
      <c r="D13" s="75">
        <v>47949767.99</v>
      </c>
      <c r="E13" s="75">
        <v>19038263.99</v>
      </c>
      <c r="F13" s="115">
        <v>18963232.51</v>
      </c>
      <c r="G13" s="113">
        <f t="shared" si="0"/>
        <v>28911504.000000004</v>
      </c>
    </row>
    <row r="14" spans="1:7" ht="15">
      <c r="A14" s="131" t="s">
        <v>436</v>
      </c>
      <c r="B14" s="75">
        <v>595831253</v>
      </c>
      <c r="C14" s="75">
        <v>-9964805.05</v>
      </c>
      <c r="D14" s="75">
        <v>585866447.95</v>
      </c>
      <c r="E14" s="75">
        <v>177737967.76</v>
      </c>
      <c r="F14" s="115">
        <v>177177559.1</v>
      </c>
      <c r="G14" s="113">
        <f t="shared" si="0"/>
        <v>408128480.19000006</v>
      </c>
    </row>
    <row r="15" spans="1:7" ht="15">
      <c r="A15" s="131" t="s">
        <v>437</v>
      </c>
      <c r="B15" s="75">
        <v>333307677</v>
      </c>
      <c r="C15" s="75">
        <v>-17760527.98</v>
      </c>
      <c r="D15" s="75">
        <v>315547149.02</v>
      </c>
      <c r="E15" s="75">
        <v>130352497.91</v>
      </c>
      <c r="F15" s="115">
        <v>129949765.52</v>
      </c>
      <c r="G15" s="113">
        <f t="shared" si="0"/>
        <v>185194651.10999998</v>
      </c>
    </row>
    <row r="16" spans="1:7" ht="15">
      <c r="A16" s="142" t="s">
        <v>462</v>
      </c>
      <c r="B16" s="75">
        <v>396854906</v>
      </c>
      <c r="C16" s="75">
        <v>105551501.61</v>
      </c>
      <c r="D16" s="75">
        <v>502406407.61</v>
      </c>
      <c r="E16" s="75">
        <v>197935589.24</v>
      </c>
      <c r="F16" s="115">
        <v>197480251.19</v>
      </c>
      <c r="G16" s="113">
        <f t="shared" si="0"/>
        <v>304470818.37</v>
      </c>
    </row>
    <row r="17" spans="1:7" ht="15">
      <c r="A17" s="131" t="s">
        <v>438</v>
      </c>
      <c r="B17" s="75">
        <v>55419524</v>
      </c>
      <c r="C17" s="75">
        <v>169314.24</v>
      </c>
      <c r="D17" s="75">
        <v>55588838.24</v>
      </c>
      <c r="E17" s="75">
        <v>18259355.38</v>
      </c>
      <c r="F17" s="115">
        <v>18190436.85</v>
      </c>
      <c r="G17" s="113">
        <f t="shared" si="0"/>
        <v>37329482.86</v>
      </c>
    </row>
    <row r="18" spans="1:7" ht="15">
      <c r="A18" s="131" t="s">
        <v>463</v>
      </c>
      <c r="B18" s="75">
        <v>162865574</v>
      </c>
      <c r="C18" s="75">
        <v>51530481.97</v>
      </c>
      <c r="D18" s="75">
        <v>214396055.97</v>
      </c>
      <c r="E18" s="75">
        <v>77779360.73</v>
      </c>
      <c r="F18" s="115">
        <v>77654875.24</v>
      </c>
      <c r="G18" s="113">
        <f t="shared" si="0"/>
        <v>136616695.24</v>
      </c>
    </row>
    <row r="19" spans="1:7" ht="15">
      <c r="A19" s="131" t="s">
        <v>464</v>
      </c>
      <c r="B19" s="75">
        <v>391486643</v>
      </c>
      <c r="C19" s="75">
        <v>-998612.7</v>
      </c>
      <c r="D19" s="75">
        <v>390488030.3</v>
      </c>
      <c r="E19" s="75">
        <v>95634868.13</v>
      </c>
      <c r="F19" s="115">
        <v>95491546.7</v>
      </c>
      <c r="G19" s="113">
        <f t="shared" si="0"/>
        <v>294853162.17</v>
      </c>
    </row>
    <row r="20" spans="1:7" ht="15">
      <c r="A20" s="131" t="s">
        <v>465</v>
      </c>
      <c r="B20" s="75">
        <v>21159297</v>
      </c>
      <c r="C20" s="75">
        <v>8450.55</v>
      </c>
      <c r="D20" s="75">
        <v>21167747.55</v>
      </c>
      <c r="E20" s="75">
        <v>6764189.2</v>
      </c>
      <c r="F20" s="115">
        <v>6735912.21</v>
      </c>
      <c r="G20" s="113">
        <f t="shared" si="0"/>
        <v>14403558.350000001</v>
      </c>
    </row>
    <row r="21" spans="1:7" ht="30">
      <c r="A21" s="142" t="s">
        <v>466</v>
      </c>
      <c r="B21" s="75">
        <v>121030999</v>
      </c>
      <c r="C21" s="75">
        <v>152022.25</v>
      </c>
      <c r="D21" s="75">
        <v>121183021.25</v>
      </c>
      <c r="E21" s="75">
        <v>31794186.44</v>
      </c>
      <c r="F21" s="115">
        <v>31748840.35</v>
      </c>
      <c r="G21" s="113">
        <f t="shared" si="0"/>
        <v>89388834.81</v>
      </c>
    </row>
    <row r="22" spans="1:7" ht="15">
      <c r="A22" s="131" t="s">
        <v>439</v>
      </c>
      <c r="B22" s="75">
        <v>124631291</v>
      </c>
      <c r="C22" s="75">
        <v>-18160097.51</v>
      </c>
      <c r="D22" s="75">
        <v>106471193.49</v>
      </c>
      <c r="E22" s="75">
        <v>64733469.64</v>
      </c>
      <c r="F22" s="115">
        <v>64667208.96</v>
      </c>
      <c r="G22" s="113">
        <f t="shared" si="0"/>
        <v>41737723.849999994</v>
      </c>
    </row>
    <row r="23" spans="1:7" ht="15">
      <c r="A23" s="131" t="s">
        <v>467</v>
      </c>
      <c r="B23" s="75">
        <v>626933457</v>
      </c>
      <c r="C23" s="75">
        <v>272087993.53</v>
      </c>
      <c r="D23" s="75">
        <v>899021450.53</v>
      </c>
      <c r="E23" s="75">
        <v>404846805.52</v>
      </c>
      <c r="F23" s="115">
        <v>403732492.29</v>
      </c>
      <c r="G23" s="113">
        <f t="shared" si="0"/>
        <v>494174645.01</v>
      </c>
    </row>
    <row r="24" spans="1:7" ht="15">
      <c r="A24" s="131" t="s">
        <v>440</v>
      </c>
      <c r="B24" s="75">
        <v>92684978</v>
      </c>
      <c r="C24" s="75">
        <v>7195940.61</v>
      </c>
      <c r="D24" s="75">
        <v>99880918.61</v>
      </c>
      <c r="E24" s="75">
        <v>43397952.37</v>
      </c>
      <c r="F24" s="115">
        <v>43313302.94</v>
      </c>
      <c r="G24" s="113">
        <f t="shared" si="0"/>
        <v>56482966.24</v>
      </c>
    </row>
    <row r="25" spans="1:7" ht="15">
      <c r="A25" s="131" t="s">
        <v>441</v>
      </c>
      <c r="B25" s="75">
        <v>92168764</v>
      </c>
      <c r="C25" s="75">
        <v>1917760.08</v>
      </c>
      <c r="D25" s="75">
        <v>94086524.08</v>
      </c>
      <c r="E25" s="75">
        <v>42979233.53</v>
      </c>
      <c r="F25" s="115">
        <v>42871343.11</v>
      </c>
      <c r="G25" s="113">
        <f t="shared" si="0"/>
        <v>51107290.55</v>
      </c>
    </row>
    <row r="26" spans="1:7" ht="15">
      <c r="A26" s="131" t="s">
        <v>468</v>
      </c>
      <c r="B26" s="75">
        <v>33792212</v>
      </c>
      <c r="C26" s="75">
        <v>331905.97</v>
      </c>
      <c r="D26" s="75">
        <v>34124117.97</v>
      </c>
      <c r="E26" s="75">
        <v>12450888.92</v>
      </c>
      <c r="F26" s="115">
        <v>12424047.14</v>
      </c>
      <c r="G26" s="113">
        <f t="shared" si="0"/>
        <v>21673229.049999997</v>
      </c>
    </row>
    <row r="27" spans="1:7" ht="15">
      <c r="A27" s="131" t="s">
        <v>442</v>
      </c>
      <c r="B27" s="75">
        <v>421644622</v>
      </c>
      <c r="C27" s="75">
        <v>-168468.14</v>
      </c>
      <c r="D27" s="75">
        <v>421476153.86</v>
      </c>
      <c r="E27" s="75">
        <v>149936656.89</v>
      </c>
      <c r="F27" s="115">
        <v>149295160.34</v>
      </c>
      <c r="G27" s="113">
        <f t="shared" si="0"/>
        <v>271539496.97</v>
      </c>
    </row>
    <row r="28" spans="1:7" ht="15">
      <c r="A28" s="131" t="s">
        <v>456</v>
      </c>
      <c r="B28" s="75">
        <v>201444083</v>
      </c>
      <c r="C28" s="75">
        <v>-20791475</v>
      </c>
      <c r="D28" s="75">
        <v>180652608</v>
      </c>
      <c r="E28" s="75">
        <v>0</v>
      </c>
      <c r="F28" s="75">
        <v>0</v>
      </c>
      <c r="G28" s="113">
        <f t="shared" si="0"/>
        <v>180652608</v>
      </c>
    </row>
    <row r="29" spans="1:7" ht="15">
      <c r="A29" s="131" t="s">
        <v>443</v>
      </c>
      <c r="B29" s="75">
        <v>409358843</v>
      </c>
      <c r="C29" s="75">
        <v>11233776.88</v>
      </c>
      <c r="D29" s="75">
        <v>420592619.88</v>
      </c>
      <c r="E29" s="75">
        <v>178115650.54</v>
      </c>
      <c r="F29" s="115">
        <v>178115650.54</v>
      </c>
      <c r="G29" s="113">
        <f t="shared" si="0"/>
        <v>242476969.34</v>
      </c>
    </row>
    <row r="30" spans="1:7" ht="15">
      <c r="A30" s="131" t="s">
        <v>444</v>
      </c>
      <c r="B30" s="75">
        <v>251680320</v>
      </c>
      <c r="C30" s="75">
        <v>0</v>
      </c>
      <c r="D30" s="75">
        <v>251680320</v>
      </c>
      <c r="E30" s="75">
        <v>128626012</v>
      </c>
      <c r="F30" s="115">
        <v>128626012</v>
      </c>
      <c r="G30" s="113">
        <f t="shared" si="0"/>
        <v>123054308</v>
      </c>
    </row>
    <row r="31" spans="1:7" ht="15">
      <c r="A31" s="131" t="s">
        <v>445</v>
      </c>
      <c r="B31" s="75">
        <v>332386758</v>
      </c>
      <c r="C31" s="75">
        <v>6400000</v>
      </c>
      <c r="D31" s="75">
        <v>338786758</v>
      </c>
      <c r="E31" s="75">
        <v>170893382</v>
      </c>
      <c r="F31" s="115">
        <v>170893382</v>
      </c>
      <c r="G31" s="113">
        <f t="shared" si="0"/>
        <v>167893376</v>
      </c>
    </row>
    <row r="32" spans="1:7" ht="15">
      <c r="A32" s="131" t="s">
        <v>446</v>
      </c>
      <c r="B32" s="112">
        <v>263113109</v>
      </c>
      <c r="C32" s="112">
        <v>1893657</v>
      </c>
      <c r="D32" s="112">
        <v>265006766</v>
      </c>
      <c r="E32" s="112">
        <v>123523837.75</v>
      </c>
      <c r="F32" s="115">
        <v>123523837.75</v>
      </c>
      <c r="G32" s="113">
        <f t="shared" si="0"/>
        <v>141482928.25</v>
      </c>
    </row>
    <row r="33" spans="1:7" ht="15">
      <c r="A33" s="131" t="s">
        <v>447</v>
      </c>
      <c r="B33" s="75">
        <v>2914436267</v>
      </c>
      <c r="C33" s="75">
        <v>40986130.75</v>
      </c>
      <c r="D33" s="75">
        <v>2955422397.75</v>
      </c>
      <c r="E33" s="75">
        <v>1549693229.96</v>
      </c>
      <c r="F33" s="115">
        <v>1548728171.22</v>
      </c>
      <c r="G33" s="113">
        <f t="shared" si="0"/>
        <v>1405729167.79</v>
      </c>
    </row>
    <row r="34" spans="1:7" ht="15">
      <c r="A34" s="131" t="s">
        <v>448</v>
      </c>
      <c r="B34" s="75">
        <v>47151000</v>
      </c>
      <c r="C34" s="75">
        <v>1639666</v>
      </c>
      <c r="D34" s="75">
        <v>48790666</v>
      </c>
      <c r="E34" s="75">
        <v>40003831</v>
      </c>
      <c r="F34" s="115">
        <v>40003831</v>
      </c>
      <c r="G34" s="113">
        <f t="shared" si="0"/>
        <v>8786835</v>
      </c>
    </row>
    <row r="35" spans="1:7" ht="15">
      <c r="A35" s="131" t="s">
        <v>449</v>
      </c>
      <c r="B35" s="75">
        <v>3224088110</v>
      </c>
      <c r="C35" s="75">
        <v>156489843.08</v>
      </c>
      <c r="D35" s="75">
        <v>3380577953.08</v>
      </c>
      <c r="E35" s="75">
        <v>1684847477.77</v>
      </c>
      <c r="F35" s="115">
        <v>1684847477.77</v>
      </c>
      <c r="G35" s="113">
        <f t="shared" si="0"/>
        <v>1695730475.31</v>
      </c>
    </row>
    <row r="36" spans="1:7" ht="15">
      <c r="A36" s="33" t="s">
        <v>146</v>
      </c>
      <c r="B36" s="76"/>
      <c r="C36" s="76"/>
      <c r="D36" s="76"/>
      <c r="E36" s="76"/>
      <c r="F36" s="76"/>
      <c r="G36" s="76"/>
    </row>
    <row r="37" spans="1:7" ht="15">
      <c r="A37" s="130" t="s">
        <v>378</v>
      </c>
      <c r="B37" s="77">
        <f>SUM(B38:B39:cbvbcvbcv)</f>
        <v>12265972110</v>
      </c>
      <c r="C37" s="77">
        <f>SUM(C38:C39:GASTO_E_FIN_02)</f>
        <v>1293790191.2100003</v>
      </c>
      <c r="D37" s="77">
        <f>SUM(D38:D39:cvbcvbcbv)</f>
        <v>13559762301.21</v>
      </c>
      <c r="E37" s="77">
        <f>SUM(E38:E39:GASTO_E_FIN_04)</f>
        <v>6327653608.049999</v>
      </c>
      <c r="F37" s="77">
        <f>SUM(F38:F39:GASTO_E_FIN_05)</f>
        <v>6327653608.049999</v>
      </c>
      <c r="G37" s="118">
        <f>SUM(G38:G39:GASTO_E_FIN_06)</f>
        <v>7232108693.16</v>
      </c>
    </row>
    <row r="38" spans="1:7" ht="30">
      <c r="A38" s="142" t="s">
        <v>458</v>
      </c>
      <c r="B38" s="115">
        <v>0</v>
      </c>
      <c r="C38" s="115">
        <v>11412704.74</v>
      </c>
      <c r="D38" s="115">
        <v>11412704.74</v>
      </c>
      <c r="E38" s="115">
        <v>11412704.74</v>
      </c>
      <c r="F38" s="115">
        <v>11412704.74</v>
      </c>
      <c r="G38" s="119">
        <f>+D38-E38</f>
        <v>0</v>
      </c>
    </row>
    <row r="39" spans="1:7" ht="15">
      <c r="A39" s="131" t="s">
        <v>459</v>
      </c>
      <c r="B39" s="75">
        <v>40275957</v>
      </c>
      <c r="C39" s="75">
        <v>13327520.93</v>
      </c>
      <c r="D39" s="75">
        <v>53603477.93</v>
      </c>
      <c r="E39" s="75">
        <v>16901955.63</v>
      </c>
      <c r="F39" s="115">
        <v>16901955.63</v>
      </c>
      <c r="G39" s="119">
        <f aca="true" t="shared" si="1" ref="G39:G44">+D39-E39</f>
        <v>36701522.3</v>
      </c>
    </row>
    <row r="40" spans="1:7" ht="15">
      <c r="A40" s="131" t="s">
        <v>460</v>
      </c>
      <c r="B40" s="115">
        <v>0</v>
      </c>
      <c r="C40" s="115">
        <v>0</v>
      </c>
      <c r="D40" s="115">
        <v>0</v>
      </c>
      <c r="E40" s="115">
        <v>0</v>
      </c>
      <c r="F40" s="115">
        <v>0</v>
      </c>
      <c r="G40" s="119">
        <f t="shared" si="1"/>
        <v>0</v>
      </c>
    </row>
    <row r="41" spans="1:7" ht="30">
      <c r="A41" s="142" t="s">
        <v>461</v>
      </c>
      <c r="B41" s="115">
        <v>0</v>
      </c>
      <c r="C41" s="115">
        <v>0</v>
      </c>
      <c r="D41" s="115">
        <v>0</v>
      </c>
      <c r="E41" s="115">
        <v>0</v>
      </c>
      <c r="F41" s="115">
        <v>0</v>
      </c>
      <c r="G41" s="119">
        <f t="shared" si="1"/>
        <v>0</v>
      </c>
    </row>
    <row r="42" spans="1:7" ht="15">
      <c r="A42" s="131" t="s">
        <v>436</v>
      </c>
      <c r="B42" s="75">
        <v>5277988307</v>
      </c>
      <c r="C42" s="75">
        <v>172127304.76</v>
      </c>
      <c r="D42" s="75">
        <v>5450115611.76</v>
      </c>
      <c r="E42" s="75">
        <v>2512699366.9</v>
      </c>
      <c r="F42" s="115">
        <v>2512699366.9</v>
      </c>
      <c r="G42" s="119">
        <f t="shared" si="1"/>
        <v>2937416244.86</v>
      </c>
    </row>
    <row r="43" spans="1:7" ht="15">
      <c r="A43" s="131" t="s">
        <v>437</v>
      </c>
      <c r="B43" s="115">
        <v>0</v>
      </c>
      <c r="C43" s="115">
        <v>0</v>
      </c>
      <c r="D43" s="115">
        <v>0</v>
      </c>
      <c r="E43" s="115">
        <v>0</v>
      </c>
      <c r="F43" s="115">
        <v>0</v>
      </c>
      <c r="G43" s="119">
        <f>+D43-E43</f>
        <v>0</v>
      </c>
    </row>
    <row r="44" spans="1:7" ht="15">
      <c r="A44" s="142" t="s">
        <v>462</v>
      </c>
      <c r="B44" s="75">
        <v>345292539</v>
      </c>
      <c r="C44" s="75">
        <v>94789730.78</v>
      </c>
      <c r="D44" s="75">
        <v>440082269.78</v>
      </c>
      <c r="E44" s="75">
        <v>81806553.6</v>
      </c>
      <c r="F44" s="115">
        <v>81806553.6</v>
      </c>
      <c r="G44" s="119">
        <f t="shared" si="1"/>
        <v>358275716.17999995</v>
      </c>
    </row>
    <row r="45" spans="1:7" ht="15">
      <c r="A45" s="131" t="s">
        <v>438</v>
      </c>
      <c r="B45" s="75">
        <v>0</v>
      </c>
      <c r="C45" s="75">
        <v>14902349.91</v>
      </c>
      <c r="D45" s="75">
        <v>14902349.91</v>
      </c>
      <c r="E45" s="75">
        <v>14902349.91</v>
      </c>
      <c r="F45" s="75">
        <v>14902349.91</v>
      </c>
      <c r="G45" s="75">
        <f>D45-E45</f>
        <v>0</v>
      </c>
    </row>
    <row r="46" spans="1:7" ht="15">
      <c r="A46" s="131" t="s">
        <v>463</v>
      </c>
      <c r="B46" s="75">
        <v>21897547</v>
      </c>
      <c r="C46" s="75">
        <v>4212895.9</v>
      </c>
      <c r="D46" s="75">
        <v>26110442.9</v>
      </c>
      <c r="E46" s="75">
        <v>18927328.15</v>
      </c>
      <c r="F46" s="115">
        <v>18927328.15</v>
      </c>
      <c r="G46" s="75">
        <f>D46-E46</f>
        <v>7183114.75</v>
      </c>
    </row>
    <row r="47" spans="1:7" ht="15">
      <c r="A47" s="131" t="s">
        <v>464</v>
      </c>
      <c r="B47" s="75">
        <v>62464666</v>
      </c>
      <c r="C47" s="75">
        <v>1556366.2</v>
      </c>
      <c r="D47" s="75">
        <v>64021032.2</v>
      </c>
      <c r="E47" s="75">
        <v>1556366.2</v>
      </c>
      <c r="F47" s="75">
        <v>1556366.2</v>
      </c>
      <c r="G47" s="75">
        <f>D47-E47</f>
        <v>62464666</v>
      </c>
    </row>
    <row r="48" spans="1:7" ht="15">
      <c r="A48" s="131" t="s">
        <v>465</v>
      </c>
      <c r="B48" s="115">
        <v>0</v>
      </c>
      <c r="C48" s="115">
        <v>0</v>
      </c>
      <c r="D48" s="115">
        <v>0</v>
      </c>
      <c r="E48" s="115">
        <v>0</v>
      </c>
      <c r="F48" s="115">
        <v>0</v>
      </c>
      <c r="G48" s="115">
        <f>+D48-E48</f>
        <v>0</v>
      </c>
    </row>
    <row r="49" spans="1:7" ht="30">
      <c r="A49" s="142" t="s">
        <v>466</v>
      </c>
      <c r="B49" s="115">
        <v>38000000</v>
      </c>
      <c r="C49" s="115">
        <v>14577344.59</v>
      </c>
      <c r="D49" s="115">
        <v>52577344.59</v>
      </c>
      <c r="E49" s="115">
        <v>14130544.59</v>
      </c>
      <c r="F49" s="115">
        <v>14130544.59</v>
      </c>
      <c r="G49" s="115">
        <f>+D49-E49</f>
        <v>38446800</v>
      </c>
    </row>
    <row r="50" spans="1:7" ht="15">
      <c r="A50" s="131" t="s">
        <v>439</v>
      </c>
      <c r="B50" s="75">
        <v>0</v>
      </c>
      <c r="C50" s="75">
        <v>5643172.88</v>
      </c>
      <c r="D50" s="75">
        <v>5643172.88</v>
      </c>
      <c r="E50" s="75">
        <v>5643172.87</v>
      </c>
      <c r="F50" s="115">
        <v>5643172.87</v>
      </c>
      <c r="G50" s="75">
        <f>D50-E50</f>
        <v>0.009999999776482582</v>
      </c>
    </row>
    <row r="51" spans="1:7" ht="15">
      <c r="A51" s="131" t="s">
        <v>467</v>
      </c>
      <c r="B51" s="75">
        <v>111761318</v>
      </c>
      <c r="C51" s="75">
        <v>36697439.05</v>
      </c>
      <c r="D51" s="75">
        <v>148458757.05</v>
      </c>
      <c r="E51" s="75">
        <v>34680693.17</v>
      </c>
      <c r="F51" s="115">
        <v>34680693.17</v>
      </c>
      <c r="G51" s="75">
        <f>D51-E51</f>
        <v>113778063.88000001</v>
      </c>
    </row>
    <row r="52" spans="1:7" ht="15">
      <c r="A52" s="131" t="s">
        <v>440</v>
      </c>
      <c r="B52" s="75">
        <v>40000000</v>
      </c>
      <c r="C52" s="75">
        <v>0</v>
      </c>
      <c r="D52" s="75">
        <v>40000000</v>
      </c>
      <c r="E52" s="75">
        <v>0</v>
      </c>
      <c r="F52" s="75">
        <v>0</v>
      </c>
      <c r="G52" s="75">
        <f>D52-E52</f>
        <v>40000000</v>
      </c>
    </row>
    <row r="53" spans="1:7" ht="15">
      <c r="A53" s="131" t="s">
        <v>441</v>
      </c>
      <c r="B53" s="115">
        <v>0</v>
      </c>
      <c r="C53" s="115">
        <v>0</v>
      </c>
      <c r="D53" s="115">
        <v>0</v>
      </c>
      <c r="E53" s="115">
        <v>0</v>
      </c>
      <c r="F53" s="115">
        <v>0</v>
      </c>
      <c r="G53" s="115">
        <f>+D53-E53</f>
        <v>0</v>
      </c>
    </row>
    <row r="54" spans="1:7" ht="15">
      <c r="A54" s="131" t="s">
        <v>468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f>+D54-E54</f>
        <v>0</v>
      </c>
    </row>
    <row r="55" spans="1:7" ht="15">
      <c r="A55" s="131" t="s">
        <v>442</v>
      </c>
      <c r="B55" s="75">
        <v>44095500</v>
      </c>
      <c r="C55" s="75">
        <v>13599318.31</v>
      </c>
      <c r="D55" s="75">
        <v>57694818.31</v>
      </c>
      <c r="E55" s="75">
        <v>4277120.66</v>
      </c>
      <c r="F55" s="115">
        <v>4277120.66</v>
      </c>
      <c r="G55" s="75">
        <f>D55-E55</f>
        <v>53417697.650000006</v>
      </c>
    </row>
    <row r="56" spans="1:7" ht="15">
      <c r="A56" s="131" t="s">
        <v>456</v>
      </c>
      <c r="B56" s="115">
        <v>0</v>
      </c>
      <c r="C56" s="115">
        <v>0</v>
      </c>
      <c r="D56" s="115">
        <v>0</v>
      </c>
      <c r="E56" s="115">
        <v>0</v>
      </c>
      <c r="F56" s="115">
        <v>0</v>
      </c>
      <c r="G56" s="115">
        <f>+D56-E56</f>
        <v>0</v>
      </c>
    </row>
    <row r="57" spans="1:7" ht="15">
      <c r="A57" s="131" t="s">
        <v>443</v>
      </c>
      <c r="B57" s="115">
        <v>0</v>
      </c>
      <c r="C57" s="115">
        <v>0</v>
      </c>
      <c r="D57" s="115">
        <v>0</v>
      </c>
      <c r="E57" s="115">
        <v>0</v>
      </c>
      <c r="F57" s="115">
        <v>0</v>
      </c>
      <c r="G57" s="115">
        <f>+D57-E57</f>
        <v>0</v>
      </c>
    </row>
    <row r="58" spans="1:7" ht="15">
      <c r="A58" s="131" t="s">
        <v>444</v>
      </c>
      <c r="B58" s="115">
        <v>0</v>
      </c>
      <c r="C58" s="115">
        <v>2009000</v>
      </c>
      <c r="D58" s="115">
        <v>2009000</v>
      </c>
      <c r="E58" s="115">
        <v>2009000</v>
      </c>
      <c r="F58" s="115">
        <v>2009000</v>
      </c>
      <c r="G58" s="115">
        <f>+D58-E58</f>
        <v>0</v>
      </c>
    </row>
    <row r="59" spans="1:7" ht="15">
      <c r="A59" s="131" t="s">
        <v>445</v>
      </c>
      <c r="B59" s="115">
        <v>0</v>
      </c>
      <c r="C59" s="115">
        <v>2690974.06</v>
      </c>
      <c r="D59" s="115">
        <v>2690974.06</v>
      </c>
      <c r="E59" s="115">
        <v>2690974.06</v>
      </c>
      <c r="F59" s="115">
        <v>2690974.06</v>
      </c>
      <c r="G59" s="115">
        <f>+D59-E59</f>
        <v>0</v>
      </c>
    </row>
    <row r="60" spans="1:7" ht="15">
      <c r="A60" s="131" t="s">
        <v>446</v>
      </c>
      <c r="B60" s="115">
        <v>0</v>
      </c>
      <c r="C60" s="115">
        <v>0</v>
      </c>
      <c r="D60" s="115">
        <v>0</v>
      </c>
      <c r="E60" s="115">
        <v>0</v>
      </c>
      <c r="F60" s="115">
        <v>0</v>
      </c>
      <c r="G60" s="115">
        <f>+D60-E60</f>
        <v>0</v>
      </c>
    </row>
    <row r="61" spans="1:7" ht="15">
      <c r="A61" s="131" t="s">
        <v>447</v>
      </c>
      <c r="B61" s="75">
        <v>4124946360</v>
      </c>
      <c r="C61" s="75">
        <v>870150544.23</v>
      </c>
      <c r="D61" s="75">
        <v>4995096904.23</v>
      </c>
      <c r="E61" s="75">
        <v>2384840649.87</v>
      </c>
      <c r="F61" s="115">
        <v>2384840649.87</v>
      </c>
      <c r="G61" s="75">
        <f>D61-E61</f>
        <v>2610256254.3599997</v>
      </c>
    </row>
    <row r="62" spans="1:7" ht="15">
      <c r="A62" s="131" t="s">
        <v>448</v>
      </c>
      <c r="B62" s="115">
        <v>0</v>
      </c>
      <c r="C62" s="115">
        <v>26575850.42</v>
      </c>
      <c r="D62" s="115">
        <v>26575850.42</v>
      </c>
      <c r="E62" s="115">
        <v>9501463.92</v>
      </c>
      <c r="F62" s="115">
        <v>9501463.92</v>
      </c>
      <c r="G62" s="115">
        <f>+D62-E62</f>
        <v>17074386.5</v>
      </c>
    </row>
    <row r="63" spans="1:7" ht="15">
      <c r="A63" s="131" t="s">
        <v>449</v>
      </c>
      <c r="B63" s="75">
        <v>2159249916</v>
      </c>
      <c r="C63" s="75">
        <v>9517674.45</v>
      </c>
      <c r="D63" s="75">
        <v>2168767590.45</v>
      </c>
      <c r="E63" s="75">
        <v>1211673363.78</v>
      </c>
      <c r="F63" s="115">
        <v>1211673363.78</v>
      </c>
      <c r="G63" s="113">
        <f>D63-E63</f>
        <v>957094226.6699998</v>
      </c>
    </row>
    <row r="64" spans="1:7" ht="15">
      <c r="A64" s="33" t="s">
        <v>146</v>
      </c>
      <c r="B64" s="25"/>
      <c r="C64" s="25"/>
      <c r="D64" s="25"/>
      <c r="E64" s="25"/>
      <c r="F64" s="25"/>
      <c r="G64" s="25"/>
    </row>
    <row r="65" spans="1:7" ht="15">
      <c r="A65" s="130" t="s">
        <v>374</v>
      </c>
      <c r="B65" s="77">
        <f>GASTO_NE_T1+vcvcbvcbcvb</f>
        <v>24826718921</v>
      </c>
      <c r="C65" s="77">
        <f>cvbvcbcbvbc+cvbcbvbcvbvc</f>
        <v>1910449185.3100004</v>
      </c>
      <c r="D65" s="77">
        <f>vcbvbcbdfgfdg+GASTO_E_T3</f>
        <v>26737168106.309998</v>
      </c>
      <c r="E65" s="77">
        <f>GASTO_NE_T4+GASTO_E_T4</f>
        <v>12168253853.48</v>
      </c>
      <c r="F65" s="77">
        <f>GASTO_NE_T5+GASTO_E_T5</f>
        <v>12162086255.48</v>
      </c>
      <c r="G65" s="77">
        <f>GASTO_NE_T6+GASTO_E_T6</f>
        <v>14568914252.83</v>
      </c>
    </row>
    <row r="66" spans="1:7" ht="15">
      <c r="A66" s="30"/>
      <c r="B66" s="106"/>
      <c r="C66" s="106"/>
      <c r="D66" s="106"/>
      <c r="E66" s="106"/>
      <c r="F66" s="106"/>
      <c r="G66" s="106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spans="1:7" ht="15" hidden="1">
      <c r="A77"/>
      <c r="B77"/>
      <c r="C77"/>
      <c r="D77"/>
      <c r="E77"/>
      <c r="F77"/>
      <c r="G77"/>
    </row>
    <row r="78" spans="1:7" ht="15" hidden="1">
      <c r="A78"/>
      <c r="B78"/>
      <c r="C78"/>
      <c r="D78"/>
      <c r="E78"/>
      <c r="F78"/>
      <c r="G78"/>
    </row>
    <row r="79" spans="1:7" ht="15" hidden="1">
      <c r="A79"/>
      <c r="B79"/>
      <c r="C79"/>
      <c r="D79"/>
      <c r="E79"/>
      <c r="F79"/>
      <c r="G79"/>
    </row>
    <row r="80" spans="1:7" ht="15" hidden="1">
      <c r="A80"/>
      <c r="B80"/>
      <c r="C80"/>
      <c r="D80"/>
      <c r="E80"/>
      <c r="F80"/>
      <c r="G80"/>
    </row>
    <row r="81" spans="1:7" ht="15" hidden="1">
      <c r="A81"/>
      <c r="B81"/>
      <c r="C81"/>
      <c r="D81"/>
      <c r="E81"/>
      <c r="F81"/>
      <c r="G81"/>
    </row>
    <row r="82" ht="15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65:C65 B9:C9 G10:G35 D9:G9 G45:G47 G50:G52 G63 G48:G49 G64:G65 G53:G54 D65:F65" unlockedFormula="1"/>
    <ignoredError sqref="G56:G60 G55 G61:G62 B37:F37" formula="1" unlockedFormula="1"/>
    <ignoredError sqref="B37:F37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zoomScalePageLayoutView="0" workbookViewId="0" topLeftCell="A37">
      <selection activeCell="C54" sqref="C54"/>
    </sheetView>
  </sheetViews>
  <sheetFormatPr defaultColWidth="0.71875" defaultRowHeight="15" zeroHeight="1"/>
  <cols>
    <col min="1" max="1" width="74.57421875" style="32" customWidth="1"/>
    <col min="2" max="6" width="20.7109375" style="32" customWidth="1"/>
    <col min="7" max="7" width="17.8515625" style="32" bestFit="1" customWidth="1"/>
    <col min="8" max="255" width="11.421875" style="0" hidden="1" customWidth="1"/>
  </cols>
  <sheetData>
    <row r="1" spans="1:7" ht="21">
      <c r="A1" s="171" t="s">
        <v>379</v>
      </c>
      <c r="B1" s="161"/>
      <c r="C1" s="161"/>
      <c r="D1" s="161"/>
      <c r="E1" s="161"/>
      <c r="F1" s="161"/>
      <c r="G1" s="161"/>
    </row>
    <row r="2" spans="1:7" ht="15">
      <c r="A2" s="146" t="s">
        <v>289</v>
      </c>
      <c r="B2" s="147"/>
      <c r="C2" s="147"/>
      <c r="D2" s="147"/>
      <c r="E2" s="147"/>
      <c r="F2" s="147"/>
      <c r="G2" s="148"/>
    </row>
    <row r="3" spans="1:7" ht="15">
      <c r="A3" s="149" t="s">
        <v>380</v>
      </c>
      <c r="B3" s="150"/>
      <c r="C3" s="150"/>
      <c r="D3" s="150"/>
      <c r="E3" s="150"/>
      <c r="F3" s="150"/>
      <c r="G3" s="151"/>
    </row>
    <row r="4" spans="1:7" ht="15">
      <c r="A4" s="149" t="s">
        <v>381</v>
      </c>
      <c r="B4" s="150"/>
      <c r="C4" s="150"/>
      <c r="D4" s="150"/>
      <c r="E4" s="150"/>
      <c r="F4" s="150"/>
      <c r="G4" s="151"/>
    </row>
    <row r="5" spans="1:7" ht="15">
      <c r="A5" s="152" t="s">
        <v>479</v>
      </c>
      <c r="B5" s="153"/>
      <c r="C5" s="153"/>
      <c r="D5" s="153"/>
      <c r="E5" s="153"/>
      <c r="F5" s="153"/>
      <c r="G5" s="154"/>
    </row>
    <row r="6" spans="1:7" ht="15">
      <c r="A6" s="155" t="s">
        <v>2</v>
      </c>
      <c r="B6" s="156"/>
      <c r="C6" s="156"/>
      <c r="D6" s="156"/>
      <c r="E6" s="156"/>
      <c r="F6" s="156"/>
      <c r="G6" s="157"/>
    </row>
    <row r="7" spans="1:7" ht="15">
      <c r="A7" s="162" t="s">
        <v>4</v>
      </c>
      <c r="B7" s="155" t="s">
        <v>293</v>
      </c>
      <c r="C7" s="156"/>
      <c r="D7" s="156"/>
      <c r="E7" s="156"/>
      <c r="F7" s="157"/>
      <c r="G7" s="167" t="s">
        <v>382</v>
      </c>
    </row>
    <row r="8" spans="1:7" ht="30">
      <c r="A8" s="163"/>
      <c r="B8" s="17" t="s">
        <v>295</v>
      </c>
      <c r="C8" s="6" t="s">
        <v>383</v>
      </c>
      <c r="D8" s="17" t="s">
        <v>297</v>
      </c>
      <c r="E8" s="17" t="s">
        <v>182</v>
      </c>
      <c r="F8" s="26" t="s">
        <v>199</v>
      </c>
      <c r="G8" s="166"/>
    </row>
    <row r="9" spans="1:7" ht="15">
      <c r="A9" s="132" t="s">
        <v>384</v>
      </c>
      <c r="B9" s="96">
        <f aca="true" t="shared" si="0" ref="B9:G9">SUM(B10,B19,B27,B37)</f>
        <v>12560746811</v>
      </c>
      <c r="C9" s="96">
        <f>SUM(C10,C19,C27,C37)</f>
        <v>616658994.1</v>
      </c>
      <c r="D9" s="96">
        <f t="shared" si="0"/>
        <v>13177405805.099998</v>
      </c>
      <c r="E9" s="96">
        <f t="shared" si="0"/>
        <v>5840600245.43</v>
      </c>
      <c r="F9" s="96">
        <f t="shared" si="0"/>
        <v>5834432647.43</v>
      </c>
      <c r="G9" s="96">
        <f t="shared" si="0"/>
        <v>7336805559.669999</v>
      </c>
    </row>
    <row r="10" spans="1:7" ht="15">
      <c r="A10" s="133" t="s">
        <v>385</v>
      </c>
      <c r="B10" s="97">
        <f aca="true" t="shared" si="1" ref="B10:G10">SUM(B11:B18)</f>
        <v>3860262442</v>
      </c>
      <c r="C10" s="97">
        <f t="shared" si="1"/>
        <v>299471145.94</v>
      </c>
      <c r="D10" s="97">
        <f t="shared" si="1"/>
        <v>4159733587.94</v>
      </c>
      <c r="E10" s="97">
        <f t="shared" si="1"/>
        <v>1634640253.88</v>
      </c>
      <c r="F10" s="97">
        <f t="shared" si="1"/>
        <v>1631199105.43</v>
      </c>
      <c r="G10" s="97">
        <f t="shared" si="1"/>
        <v>2525093334.06</v>
      </c>
    </row>
    <row r="11" spans="1:7" ht="15">
      <c r="A11" s="19" t="s">
        <v>386</v>
      </c>
      <c r="B11" s="97">
        <v>251680320</v>
      </c>
      <c r="C11" s="97">
        <v>0</v>
      </c>
      <c r="D11" s="97">
        <v>251680320</v>
      </c>
      <c r="E11" s="97">
        <v>128626012</v>
      </c>
      <c r="F11" s="97">
        <v>128626012</v>
      </c>
      <c r="G11" s="97">
        <f>D11-E11</f>
        <v>123054308</v>
      </c>
    </row>
    <row r="12" spans="1:7" ht="15">
      <c r="A12" s="19" t="s">
        <v>387</v>
      </c>
      <c r="B12" s="97">
        <v>1030182147</v>
      </c>
      <c r="C12" s="97">
        <v>13572477.09</v>
      </c>
      <c r="D12" s="97">
        <v>1043754624.09</v>
      </c>
      <c r="E12" s="97">
        <v>459996718.38</v>
      </c>
      <c r="F12" s="97">
        <v>459098038.6</v>
      </c>
      <c r="G12" s="97">
        <f aca="true" t="shared" si="2" ref="G12:G18">D12-E12</f>
        <v>583757905.71</v>
      </c>
    </row>
    <row r="13" spans="1:7" ht="15">
      <c r="A13" s="19" t="s">
        <v>388</v>
      </c>
      <c r="B13" s="97">
        <v>707928341</v>
      </c>
      <c r="C13" s="97">
        <v>29320318.76</v>
      </c>
      <c r="D13" s="97">
        <v>737248659.76</v>
      </c>
      <c r="E13" s="97">
        <v>299728501.59</v>
      </c>
      <c r="F13" s="97">
        <v>299135532.9</v>
      </c>
      <c r="G13" s="97">
        <f t="shared" si="2"/>
        <v>437520158.17</v>
      </c>
    </row>
    <row r="14" spans="1:7" ht="15">
      <c r="A14" s="19" t="s">
        <v>389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f t="shared" si="2"/>
        <v>0</v>
      </c>
    </row>
    <row r="15" spans="1:7" ht="15">
      <c r="A15" s="19" t="s">
        <v>390</v>
      </c>
      <c r="B15" s="97">
        <v>773127117</v>
      </c>
      <c r="C15" s="97">
        <v>-18327210.45</v>
      </c>
      <c r="D15" s="97">
        <v>754799906.55</v>
      </c>
      <c r="E15" s="97">
        <v>159824428.94</v>
      </c>
      <c r="F15" s="97">
        <v>159487548.99</v>
      </c>
      <c r="G15" s="97">
        <f t="shared" si="2"/>
        <v>594975477.6099999</v>
      </c>
    </row>
    <row r="16" spans="1:7" ht="15">
      <c r="A16" s="19" t="s">
        <v>391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f t="shared" si="2"/>
        <v>0</v>
      </c>
    </row>
    <row r="17" spans="1:7" ht="15">
      <c r="A17" s="19" t="s">
        <v>392</v>
      </c>
      <c r="B17" s="97">
        <v>778007413</v>
      </c>
      <c r="C17" s="97">
        <v>274505509.69</v>
      </c>
      <c r="D17" s="97">
        <v>1052512922.69</v>
      </c>
      <c r="E17" s="97">
        <v>472087464.32</v>
      </c>
      <c r="F17" s="97">
        <v>470817646.45</v>
      </c>
      <c r="G17" s="97">
        <f t="shared" si="2"/>
        <v>580425458.3700001</v>
      </c>
    </row>
    <row r="18" spans="1:7" ht="15">
      <c r="A18" s="19" t="s">
        <v>393</v>
      </c>
      <c r="B18" s="97">
        <v>319337104</v>
      </c>
      <c r="C18" s="97">
        <v>400050.85</v>
      </c>
      <c r="D18" s="97">
        <v>319737154.85</v>
      </c>
      <c r="E18" s="97">
        <v>114377128.65</v>
      </c>
      <c r="F18" s="97">
        <v>114034326.49</v>
      </c>
      <c r="G18" s="97">
        <f t="shared" si="2"/>
        <v>205360026.20000002</v>
      </c>
    </row>
    <row r="19" spans="1:7" ht="15">
      <c r="A19" s="133" t="s">
        <v>394</v>
      </c>
      <c r="B19" s="97">
        <f aca="true" t="shared" si="3" ref="B19:G19">SUM(B20:B26)</f>
        <v>4447648909</v>
      </c>
      <c r="C19" s="97">
        <f t="shared" si="3"/>
        <v>85022440.23</v>
      </c>
      <c r="D19" s="97">
        <f t="shared" si="3"/>
        <v>4532671349.2300005</v>
      </c>
      <c r="E19" s="97">
        <f t="shared" si="3"/>
        <v>2038679216.9299998</v>
      </c>
      <c r="F19" s="97">
        <f t="shared" si="3"/>
        <v>2036454339.23</v>
      </c>
      <c r="G19" s="97">
        <f t="shared" si="3"/>
        <v>2493992132.2999997</v>
      </c>
    </row>
    <row r="20" spans="1:7" ht="15">
      <c r="A20" s="19" t="s">
        <v>395</v>
      </c>
      <c r="B20" s="97">
        <v>51238844</v>
      </c>
      <c r="C20" s="97">
        <v>60822.32</v>
      </c>
      <c r="D20" s="97">
        <v>51299666.32</v>
      </c>
      <c r="E20" s="97">
        <v>20758334.07</v>
      </c>
      <c r="F20" s="97">
        <v>20707872.19</v>
      </c>
      <c r="G20" s="97">
        <f>D20-E20</f>
        <v>30541332.25</v>
      </c>
    </row>
    <row r="21" spans="1:7" ht="15">
      <c r="A21" s="19" t="s">
        <v>396</v>
      </c>
      <c r="B21" s="97">
        <v>387895817</v>
      </c>
      <c r="C21" s="97">
        <v>60818790.04</v>
      </c>
      <c r="D21" s="97">
        <v>448714607.04</v>
      </c>
      <c r="E21" s="97">
        <v>173889871.73</v>
      </c>
      <c r="F21" s="97">
        <v>173626502.01</v>
      </c>
      <c r="G21" s="97">
        <f aca="true" t="shared" si="4" ref="G21:G26">D21-E21</f>
        <v>274824735.31000006</v>
      </c>
    </row>
    <row r="22" spans="1:7" ht="15">
      <c r="A22" s="19" t="s">
        <v>397</v>
      </c>
      <c r="B22" s="97">
        <v>759227434</v>
      </c>
      <c r="C22" s="97">
        <v>-3445218.07</v>
      </c>
      <c r="D22" s="97">
        <v>755782215.93</v>
      </c>
      <c r="E22" s="97">
        <v>396558232.88</v>
      </c>
      <c r="F22" s="97">
        <v>395740810.16</v>
      </c>
      <c r="G22" s="97">
        <f t="shared" si="4"/>
        <v>359223983.04999995</v>
      </c>
    </row>
    <row r="23" spans="1:7" ht="15">
      <c r="A23" s="19" t="s">
        <v>398</v>
      </c>
      <c r="B23" s="97">
        <v>292412952</v>
      </c>
      <c r="C23" s="97">
        <v>-16081786.84</v>
      </c>
      <c r="D23" s="97">
        <v>276331165.16</v>
      </c>
      <c r="E23" s="97">
        <v>143525910.94</v>
      </c>
      <c r="F23" s="97">
        <v>143352743.09</v>
      </c>
      <c r="G23" s="97">
        <f t="shared" si="4"/>
        <v>132805254.22000003</v>
      </c>
    </row>
    <row r="24" spans="1:7" ht="15">
      <c r="A24" s="19" t="s">
        <v>399</v>
      </c>
      <c r="B24" s="97">
        <v>2120662165</v>
      </c>
      <c r="C24" s="97">
        <v>32420101.27</v>
      </c>
      <c r="D24" s="97">
        <v>2153082266.27</v>
      </c>
      <c r="E24" s="97">
        <v>954578505.46</v>
      </c>
      <c r="F24" s="97">
        <v>953953162.32</v>
      </c>
      <c r="G24" s="97">
        <f t="shared" si="4"/>
        <v>1198503760.81</v>
      </c>
    </row>
    <row r="25" spans="1:7" ht="15">
      <c r="A25" s="19" t="s">
        <v>400</v>
      </c>
      <c r="B25" s="97">
        <v>313922844</v>
      </c>
      <c r="C25" s="97">
        <v>851550.37</v>
      </c>
      <c r="D25" s="97">
        <v>314774394.37</v>
      </c>
      <c r="E25" s="97">
        <v>175707407.14</v>
      </c>
      <c r="F25" s="97">
        <v>175705576.26</v>
      </c>
      <c r="G25" s="97">
        <f t="shared" si="4"/>
        <v>139066987.23000002</v>
      </c>
    </row>
    <row r="26" spans="1:7" ht="15">
      <c r="A26" s="19" t="s">
        <v>401</v>
      </c>
      <c r="B26" s="97">
        <v>522288853</v>
      </c>
      <c r="C26" s="97">
        <v>10398181.14</v>
      </c>
      <c r="D26" s="97">
        <v>532687034.14</v>
      </c>
      <c r="E26" s="97">
        <v>173660954.71</v>
      </c>
      <c r="F26" s="97">
        <v>173367673.2</v>
      </c>
      <c r="G26" s="97">
        <f t="shared" si="4"/>
        <v>359026079.42999995</v>
      </c>
    </row>
    <row r="27" spans="1:7" ht="15">
      <c r="A27" s="133" t="s">
        <v>402</v>
      </c>
      <c r="B27" s="97">
        <f aca="true" t="shared" si="5" ref="B27:G27">SUM(B28:B36)</f>
        <v>619388507</v>
      </c>
      <c r="C27" s="97">
        <f t="shared" si="5"/>
        <v>64441787.97</v>
      </c>
      <c r="D27" s="97">
        <f t="shared" si="5"/>
        <v>683830294.9699999</v>
      </c>
      <c r="E27" s="97">
        <f t="shared" si="5"/>
        <v>304317646.30999994</v>
      </c>
      <c r="F27" s="97">
        <f t="shared" si="5"/>
        <v>303816074.46</v>
      </c>
      <c r="G27" s="97">
        <f t="shared" si="5"/>
        <v>379512648.65999997</v>
      </c>
    </row>
    <row r="28" spans="1:7" ht="15">
      <c r="A28" s="36" t="s">
        <v>403</v>
      </c>
      <c r="B28" s="97">
        <v>99450353</v>
      </c>
      <c r="C28" s="97">
        <v>568283.91</v>
      </c>
      <c r="D28" s="97">
        <v>100018636.91</v>
      </c>
      <c r="E28" s="97">
        <v>45647080.61</v>
      </c>
      <c r="F28" s="97">
        <v>45548268.13</v>
      </c>
      <c r="G28" s="97">
        <f>D28-E28</f>
        <v>54371556.3</v>
      </c>
    </row>
    <row r="29" spans="1:7" ht="15">
      <c r="A29" s="19" t="s">
        <v>404</v>
      </c>
      <c r="B29" s="97">
        <v>242093358</v>
      </c>
      <c r="C29" s="97">
        <v>62925626.15</v>
      </c>
      <c r="D29" s="97">
        <v>305018984.15</v>
      </c>
      <c r="E29" s="97">
        <v>132036164.75</v>
      </c>
      <c r="F29" s="97">
        <v>131875079.88</v>
      </c>
      <c r="G29" s="97">
        <f aca="true" t="shared" si="6" ref="G29:G35">D29-E29</f>
        <v>172982819.39999998</v>
      </c>
    </row>
    <row r="30" spans="1:7" ht="15">
      <c r="A30" s="19" t="s">
        <v>405</v>
      </c>
      <c r="B30" s="97">
        <v>77816023</v>
      </c>
      <c r="C30" s="97">
        <v>1862842.27</v>
      </c>
      <c r="D30" s="97">
        <v>79678865.27</v>
      </c>
      <c r="E30" s="97">
        <v>17317823.39</v>
      </c>
      <c r="F30" s="97">
        <v>17300921.26</v>
      </c>
      <c r="G30" s="97">
        <f t="shared" si="6"/>
        <v>62361041.879999995</v>
      </c>
    </row>
    <row r="31" spans="1:7" ht="15">
      <c r="A31" s="19" t="s">
        <v>406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f t="shared" si="6"/>
        <v>0</v>
      </c>
    </row>
    <row r="32" spans="1:7" ht="15">
      <c r="A32" s="19" t="s">
        <v>407</v>
      </c>
      <c r="B32" s="97">
        <v>9420992</v>
      </c>
      <c r="C32" s="97">
        <v>-62821.65</v>
      </c>
      <c r="D32" s="97">
        <v>9358170.35</v>
      </c>
      <c r="E32" s="97">
        <v>3624411.57</v>
      </c>
      <c r="F32" s="97">
        <v>3607660.11</v>
      </c>
      <c r="G32" s="97">
        <f t="shared" si="6"/>
        <v>5733758.779999999</v>
      </c>
    </row>
    <row r="33" spans="1:7" ht="15">
      <c r="A33" s="19" t="s">
        <v>408</v>
      </c>
      <c r="B33" s="97">
        <v>49378304</v>
      </c>
      <c r="C33" s="97">
        <v>17526360.13</v>
      </c>
      <c r="D33" s="97">
        <v>66904664.13</v>
      </c>
      <c r="E33" s="97">
        <v>33707994.76</v>
      </c>
      <c r="F33" s="97">
        <v>33598194.51</v>
      </c>
      <c r="G33" s="97">
        <f t="shared" si="6"/>
        <v>33196669.370000005</v>
      </c>
    </row>
    <row r="34" spans="1:7" ht="15">
      <c r="A34" s="19" t="s">
        <v>409</v>
      </c>
      <c r="B34" s="97">
        <v>124631291</v>
      </c>
      <c r="C34" s="97">
        <v>-18263727.62</v>
      </c>
      <c r="D34" s="97">
        <v>106367563.38</v>
      </c>
      <c r="E34" s="97">
        <v>64733469.64</v>
      </c>
      <c r="F34" s="97">
        <v>64667208.96</v>
      </c>
      <c r="G34" s="97">
        <f t="shared" si="6"/>
        <v>41634093.739999995</v>
      </c>
    </row>
    <row r="35" spans="1:7" ht="15">
      <c r="A35" s="19" t="s">
        <v>410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f t="shared" si="6"/>
        <v>0</v>
      </c>
    </row>
    <row r="36" spans="1:7" ht="15">
      <c r="A36" s="19" t="s">
        <v>411</v>
      </c>
      <c r="B36" s="97">
        <v>16598186</v>
      </c>
      <c r="C36" s="97">
        <v>-114775.22</v>
      </c>
      <c r="D36" s="97">
        <v>16483410.78</v>
      </c>
      <c r="E36" s="97">
        <v>7250701.59</v>
      </c>
      <c r="F36" s="97">
        <v>7218741.61</v>
      </c>
      <c r="G36" s="97">
        <f>D36-E36</f>
        <v>9232709.19</v>
      </c>
    </row>
    <row r="37" spans="1:7" ht="30">
      <c r="A37" s="136" t="s">
        <v>412</v>
      </c>
      <c r="B37" s="97">
        <f aca="true" t="shared" si="7" ref="B37:G37">SUM(B38:B41)</f>
        <v>3633446953</v>
      </c>
      <c r="C37" s="97">
        <f t="shared" si="7"/>
        <v>167723619.96</v>
      </c>
      <c r="D37" s="97">
        <f t="shared" si="7"/>
        <v>3801170572.96</v>
      </c>
      <c r="E37" s="97">
        <f t="shared" si="7"/>
        <v>1862963128.31</v>
      </c>
      <c r="F37" s="97">
        <f t="shared" si="7"/>
        <v>1862963128.31</v>
      </c>
      <c r="G37" s="97">
        <f t="shared" si="7"/>
        <v>1938207444.6499999</v>
      </c>
    </row>
    <row r="38" spans="1:7" ht="15">
      <c r="A38" s="36" t="s">
        <v>413</v>
      </c>
      <c r="B38" s="97">
        <v>359358843</v>
      </c>
      <c r="C38" s="97">
        <v>11233776.88</v>
      </c>
      <c r="D38" s="97">
        <v>370592619.88</v>
      </c>
      <c r="E38" s="97">
        <v>178115650.54</v>
      </c>
      <c r="F38" s="97">
        <v>178115650.54</v>
      </c>
      <c r="G38" s="97">
        <f>+D38-E38</f>
        <v>192476969.34</v>
      </c>
    </row>
    <row r="39" spans="1:7" ht="30">
      <c r="A39" s="36" t="s">
        <v>414</v>
      </c>
      <c r="B39" s="97">
        <v>3224088110</v>
      </c>
      <c r="C39" s="97">
        <v>156489843.08</v>
      </c>
      <c r="D39" s="97">
        <v>3380577953.08</v>
      </c>
      <c r="E39" s="97">
        <v>1684847477.77</v>
      </c>
      <c r="F39" s="97">
        <v>1684847477.77</v>
      </c>
      <c r="G39" s="97">
        <f>+D39-E39</f>
        <v>1695730475.31</v>
      </c>
    </row>
    <row r="40" spans="1:7" ht="15">
      <c r="A40" s="36" t="s">
        <v>415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f>+D40-E40</f>
        <v>0</v>
      </c>
    </row>
    <row r="41" spans="1:7" ht="15">
      <c r="A41" s="36" t="s">
        <v>416</v>
      </c>
      <c r="B41" s="97">
        <v>50000000</v>
      </c>
      <c r="C41" s="97">
        <v>0</v>
      </c>
      <c r="D41" s="97">
        <v>50000000</v>
      </c>
      <c r="E41" s="97">
        <v>0</v>
      </c>
      <c r="F41" s="97">
        <v>0</v>
      </c>
      <c r="G41" s="97">
        <f>+D41-E41</f>
        <v>50000000</v>
      </c>
    </row>
    <row r="42" spans="1:7" ht="15">
      <c r="A42" s="31"/>
      <c r="B42" s="97"/>
      <c r="C42" s="97"/>
      <c r="D42" s="97"/>
      <c r="E42" s="97"/>
      <c r="F42" s="97"/>
      <c r="G42" s="97"/>
    </row>
    <row r="43" spans="1:7" ht="15">
      <c r="A43" s="130" t="s">
        <v>417</v>
      </c>
      <c r="B43" s="98">
        <f aca="true" t="shared" si="8" ref="B43:G43">SUM(B44,B53,B61,B71)</f>
        <v>12265972110</v>
      </c>
      <c r="C43" s="98">
        <f t="shared" si="8"/>
        <v>1293790191.21</v>
      </c>
      <c r="D43" s="98">
        <f t="shared" si="8"/>
        <v>13559762301.21</v>
      </c>
      <c r="E43" s="98">
        <f t="shared" si="8"/>
        <v>6327653608.049999</v>
      </c>
      <c r="F43" s="98">
        <f t="shared" si="8"/>
        <v>6327653608.049999</v>
      </c>
      <c r="G43" s="98">
        <f t="shared" si="8"/>
        <v>7232108693.16</v>
      </c>
    </row>
    <row r="44" spans="1:7" ht="15">
      <c r="A44" s="133" t="s">
        <v>418</v>
      </c>
      <c r="B44" s="97">
        <f aca="true" t="shared" si="9" ref="B44:G44">SUM(B45:B52)</f>
        <v>246132775</v>
      </c>
      <c r="C44" s="97">
        <f t="shared" si="9"/>
        <v>79736957.08999999</v>
      </c>
      <c r="D44" s="97">
        <f t="shared" si="9"/>
        <v>325869732.09</v>
      </c>
      <c r="E44" s="97">
        <f t="shared" si="9"/>
        <v>71972448.25999999</v>
      </c>
      <c r="F44" s="97">
        <f t="shared" si="9"/>
        <v>71972448.25999999</v>
      </c>
      <c r="G44" s="97">
        <f t="shared" si="9"/>
        <v>253897283.83</v>
      </c>
    </row>
    <row r="45" spans="1:7" ht="15">
      <c r="A45" s="36" t="s">
        <v>386</v>
      </c>
      <c r="B45" s="97">
        <v>0</v>
      </c>
      <c r="C45" s="97">
        <v>2009000</v>
      </c>
      <c r="D45" s="97">
        <v>2009000</v>
      </c>
      <c r="E45" s="97">
        <v>2009000</v>
      </c>
      <c r="F45" s="97">
        <v>2009000</v>
      </c>
      <c r="G45" s="97">
        <f>D45-E45</f>
        <v>0</v>
      </c>
    </row>
    <row r="46" spans="1:7" ht="15">
      <c r="A46" s="36" t="s">
        <v>387</v>
      </c>
      <c r="B46" s="97">
        <v>58993879</v>
      </c>
      <c r="C46" s="97">
        <v>26950276.97</v>
      </c>
      <c r="D46" s="97">
        <v>85944155.97</v>
      </c>
      <c r="E46" s="97">
        <v>7789758.26</v>
      </c>
      <c r="F46" s="97">
        <v>7789758.26</v>
      </c>
      <c r="G46" s="97">
        <f aca="true" t="shared" si="10" ref="G46:G52">D46-E46</f>
        <v>78154397.71</v>
      </c>
    </row>
    <row r="47" spans="1:7" ht="15">
      <c r="A47" s="36" t="s">
        <v>388</v>
      </c>
      <c r="B47" s="97">
        <v>0</v>
      </c>
      <c r="C47" s="97">
        <v>11412704.74</v>
      </c>
      <c r="D47" s="97">
        <v>11412704.74</v>
      </c>
      <c r="E47" s="97">
        <v>11412704.74</v>
      </c>
      <c r="F47" s="97">
        <v>11412704.74</v>
      </c>
      <c r="G47" s="97">
        <f t="shared" si="10"/>
        <v>0</v>
      </c>
    </row>
    <row r="48" spans="1:7" ht="15">
      <c r="A48" s="36" t="s">
        <v>389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f t="shared" si="10"/>
        <v>0</v>
      </c>
    </row>
    <row r="49" spans="1:7" ht="15">
      <c r="A49" s="36" t="s">
        <v>390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f t="shared" si="10"/>
        <v>0</v>
      </c>
    </row>
    <row r="50" spans="1:7" ht="15">
      <c r="A50" s="36" t="s">
        <v>391</v>
      </c>
      <c r="B50" s="97">
        <v>0</v>
      </c>
      <c r="C50" s="97">
        <v>0</v>
      </c>
      <c r="D50" s="97">
        <v>0</v>
      </c>
      <c r="E50" s="97">
        <v>0</v>
      </c>
      <c r="F50" s="97">
        <v>0</v>
      </c>
      <c r="G50" s="97">
        <f t="shared" si="10"/>
        <v>0</v>
      </c>
    </row>
    <row r="51" spans="1:7" ht="15">
      <c r="A51" s="36" t="s">
        <v>392</v>
      </c>
      <c r="B51" s="97">
        <v>177138896</v>
      </c>
      <c r="C51" s="97">
        <v>36860885.64</v>
      </c>
      <c r="D51" s="97">
        <v>213999781.64</v>
      </c>
      <c r="E51" s="97">
        <v>48299508.54</v>
      </c>
      <c r="F51" s="97">
        <v>48299508.54</v>
      </c>
      <c r="G51" s="97">
        <f t="shared" si="10"/>
        <v>165700273.1</v>
      </c>
    </row>
    <row r="52" spans="1:7" ht="15">
      <c r="A52" s="36" t="s">
        <v>393</v>
      </c>
      <c r="B52" s="97">
        <v>10000000</v>
      </c>
      <c r="C52" s="97">
        <v>2504089.74</v>
      </c>
      <c r="D52" s="97">
        <v>12504089.74</v>
      </c>
      <c r="E52" s="97">
        <v>2461476.72</v>
      </c>
      <c r="F52" s="97">
        <v>2461476.72</v>
      </c>
      <c r="G52" s="97">
        <f t="shared" si="10"/>
        <v>10042613.02</v>
      </c>
    </row>
    <row r="53" spans="1:7" ht="15">
      <c r="A53" s="133" t="s">
        <v>394</v>
      </c>
      <c r="B53" s="97">
        <f aca="true" t="shared" si="11" ref="B53:G53">SUM(B54:B60)</f>
        <v>9665120316</v>
      </c>
      <c r="C53" s="97">
        <f t="shared" si="11"/>
        <v>1154420569.28</v>
      </c>
      <c r="D53" s="97">
        <f t="shared" si="11"/>
        <v>10819540885.279999</v>
      </c>
      <c r="E53" s="97">
        <f t="shared" si="11"/>
        <v>4995573583.61</v>
      </c>
      <c r="F53" s="97">
        <f t="shared" si="11"/>
        <v>4995573583.61</v>
      </c>
      <c r="G53" s="97">
        <f t="shared" si="11"/>
        <v>5823967301.67</v>
      </c>
    </row>
    <row r="54" spans="1:7" ht="15">
      <c r="A54" s="36" t="s">
        <v>395</v>
      </c>
      <c r="B54" s="97">
        <v>14000000</v>
      </c>
      <c r="C54" s="97">
        <v>19513344.59</v>
      </c>
      <c r="D54" s="97">
        <v>33513344.59</v>
      </c>
      <c r="E54" s="97">
        <v>13313344.59</v>
      </c>
      <c r="F54" s="97">
        <v>13313344.59</v>
      </c>
      <c r="G54" s="97">
        <f>D54-E54</f>
        <v>20200000</v>
      </c>
    </row>
    <row r="55" spans="1:7" ht="15">
      <c r="A55" s="36" t="s">
        <v>396</v>
      </c>
      <c r="B55" s="97">
        <v>404527852</v>
      </c>
      <c r="C55" s="97">
        <v>45188271.49</v>
      </c>
      <c r="D55" s="97">
        <v>449716123.49</v>
      </c>
      <c r="E55" s="97">
        <v>40652267.1</v>
      </c>
      <c r="F55" s="97">
        <v>40652267.1</v>
      </c>
      <c r="G55" s="97">
        <f aca="true" t="shared" si="12" ref="G55:G60">D55-E55</f>
        <v>409063856.39</v>
      </c>
    </row>
    <row r="56" spans="1:7" ht="15">
      <c r="A56" s="36" t="s">
        <v>397</v>
      </c>
      <c r="B56" s="97">
        <v>2070930170</v>
      </c>
      <c r="C56" s="97">
        <v>187859075.87</v>
      </c>
      <c r="D56" s="97">
        <v>2258789245.87</v>
      </c>
      <c r="E56" s="97">
        <v>1153670944.57</v>
      </c>
      <c r="F56" s="97">
        <v>1153670944.57</v>
      </c>
      <c r="G56" s="97">
        <f t="shared" si="12"/>
        <v>1105118301.3</v>
      </c>
    </row>
    <row r="57" spans="1:7" ht="15">
      <c r="A57" s="143" t="s">
        <v>398</v>
      </c>
      <c r="B57" s="97">
        <v>56451779</v>
      </c>
      <c r="C57" s="97">
        <v>47441104.21</v>
      </c>
      <c r="D57" s="97">
        <v>103892883.21</v>
      </c>
      <c r="E57" s="97">
        <v>48707056.83</v>
      </c>
      <c r="F57" s="97">
        <v>48707056.83</v>
      </c>
      <c r="G57" s="97">
        <f t="shared" si="12"/>
        <v>55185826.379999995</v>
      </c>
    </row>
    <row r="58" spans="1:7" ht="15">
      <c r="A58" s="36" t="s">
        <v>399</v>
      </c>
      <c r="B58" s="97">
        <v>6760493276</v>
      </c>
      <c r="C58" s="97">
        <v>815902756.14</v>
      </c>
      <c r="D58" s="97">
        <v>7576396032.14</v>
      </c>
      <c r="E58" s="97">
        <v>3528685909.57</v>
      </c>
      <c r="F58" s="97">
        <v>3528685909.57</v>
      </c>
      <c r="G58" s="97">
        <f t="shared" si="12"/>
        <v>4047710122.57</v>
      </c>
    </row>
    <row r="59" spans="1:7" ht="15">
      <c r="A59" s="36" t="s">
        <v>400</v>
      </c>
      <c r="B59" s="97">
        <v>340717239</v>
      </c>
      <c r="C59" s="97">
        <v>38516016.98</v>
      </c>
      <c r="D59" s="97">
        <v>379233255.98</v>
      </c>
      <c r="E59" s="97">
        <v>210544060.95</v>
      </c>
      <c r="F59" s="97">
        <v>210544060.95</v>
      </c>
      <c r="G59" s="97">
        <f t="shared" si="12"/>
        <v>168689195.03000003</v>
      </c>
    </row>
    <row r="60" spans="1:7" ht="15">
      <c r="A60" s="36" t="s">
        <v>401</v>
      </c>
      <c r="B60" s="97">
        <v>18000000</v>
      </c>
      <c r="C60" s="97">
        <v>0</v>
      </c>
      <c r="D60" s="97">
        <v>18000000</v>
      </c>
      <c r="E60" s="97">
        <v>0</v>
      </c>
      <c r="F60" s="97">
        <v>0</v>
      </c>
      <c r="G60" s="97">
        <f t="shared" si="12"/>
        <v>18000000</v>
      </c>
    </row>
    <row r="61" spans="1:7" ht="15">
      <c r="A61" s="133" t="s">
        <v>402</v>
      </c>
      <c r="B61" s="97">
        <f aca="true" t="shared" si="13" ref="B61:G61">SUM(B62:B70)</f>
        <v>195469103</v>
      </c>
      <c r="C61" s="97">
        <f t="shared" si="13"/>
        <v>54182818.45000001</v>
      </c>
      <c r="D61" s="97">
        <f t="shared" si="13"/>
        <v>249651921.45</v>
      </c>
      <c r="E61" s="97">
        <f t="shared" si="13"/>
        <v>51376064.190000005</v>
      </c>
      <c r="F61" s="97">
        <f t="shared" si="13"/>
        <v>51376064.190000005</v>
      </c>
      <c r="G61" s="97">
        <f t="shared" si="13"/>
        <v>198275857.26</v>
      </c>
    </row>
    <row r="62" spans="1:7" ht="15">
      <c r="A62" s="36" t="s">
        <v>403</v>
      </c>
      <c r="B62" s="97">
        <v>0</v>
      </c>
      <c r="C62" s="97">
        <v>14902349.91</v>
      </c>
      <c r="D62" s="97">
        <v>14902349.91</v>
      </c>
      <c r="E62" s="97">
        <v>14902349.91</v>
      </c>
      <c r="F62" s="97">
        <v>14902349.91</v>
      </c>
      <c r="G62" s="97">
        <f>D62-E62</f>
        <v>0</v>
      </c>
    </row>
    <row r="63" spans="1:7" ht="15">
      <c r="A63" s="36" t="s">
        <v>404</v>
      </c>
      <c r="B63" s="97">
        <v>23897547</v>
      </c>
      <c r="C63" s="97">
        <v>32052746.32</v>
      </c>
      <c r="D63" s="97">
        <v>55950293.32</v>
      </c>
      <c r="E63" s="97">
        <v>29245992.07</v>
      </c>
      <c r="F63" s="97">
        <v>29245992.07</v>
      </c>
      <c r="G63" s="97">
        <f aca="true" t="shared" si="14" ref="G63:G70">D63-E63</f>
        <v>26704301.25</v>
      </c>
    </row>
    <row r="64" spans="1:7" ht="15">
      <c r="A64" s="36" t="s">
        <v>405</v>
      </c>
      <c r="B64" s="97">
        <v>22000000</v>
      </c>
      <c r="C64" s="97">
        <v>0</v>
      </c>
      <c r="D64" s="97">
        <v>22000000</v>
      </c>
      <c r="E64" s="97">
        <v>0</v>
      </c>
      <c r="F64" s="97">
        <v>0</v>
      </c>
      <c r="G64" s="97">
        <f t="shared" si="14"/>
        <v>22000000</v>
      </c>
    </row>
    <row r="65" spans="1:7" ht="15">
      <c r="A65" s="36" t="s">
        <v>406</v>
      </c>
      <c r="B65" s="97">
        <v>0</v>
      </c>
      <c r="C65" s="97">
        <v>0</v>
      </c>
      <c r="D65" s="97">
        <v>0</v>
      </c>
      <c r="E65" s="97">
        <v>0</v>
      </c>
      <c r="F65" s="97">
        <v>0</v>
      </c>
      <c r="G65" s="97">
        <f t="shared" si="14"/>
        <v>0</v>
      </c>
    </row>
    <row r="66" spans="1:7" ht="15">
      <c r="A66" s="36" t="s">
        <v>407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f t="shared" si="14"/>
        <v>0</v>
      </c>
    </row>
    <row r="67" spans="1:7" ht="15">
      <c r="A67" s="36" t="s">
        <v>408</v>
      </c>
      <c r="B67" s="97">
        <v>149571556</v>
      </c>
      <c r="C67" s="97">
        <v>1584549.34</v>
      </c>
      <c r="D67" s="97">
        <v>151156105.34</v>
      </c>
      <c r="E67" s="97">
        <v>1584549.34</v>
      </c>
      <c r="F67" s="97">
        <v>1584549.34</v>
      </c>
      <c r="G67" s="97">
        <f t="shared" si="14"/>
        <v>149571556</v>
      </c>
    </row>
    <row r="68" spans="1:7" ht="15">
      <c r="A68" s="36" t="s">
        <v>409</v>
      </c>
      <c r="B68" s="97">
        <v>0</v>
      </c>
      <c r="C68" s="97">
        <v>5643172.88</v>
      </c>
      <c r="D68" s="97">
        <v>5643172.88</v>
      </c>
      <c r="E68" s="97">
        <v>5643172.87</v>
      </c>
      <c r="F68" s="97">
        <v>5643172.87</v>
      </c>
      <c r="G68" s="97">
        <f t="shared" si="14"/>
        <v>0.009999999776482582</v>
      </c>
    </row>
    <row r="69" spans="1:7" ht="15">
      <c r="A69" s="36" t="s">
        <v>410</v>
      </c>
      <c r="B69" s="97">
        <v>0</v>
      </c>
      <c r="C69" s="97">
        <v>0</v>
      </c>
      <c r="D69" s="97">
        <v>0</v>
      </c>
      <c r="E69" s="97">
        <v>0</v>
      </c>
      <c r="F69" s="97">
        <v>0</v>
      </c>
      <c r="G69" s="97">
        <f t="shared" si="14"/>
        <v>0</v>
      </c>
    </row>
    <row r="70" spans="1:7" ht="15">
      <c r="A70" s="36" t="s">
        <v>411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7">
        <f t="shared" si="14"/>
        <v>0</v>
      </c>
    </row>
    <row r="71" spans="1:7" ht="15">
      <c r="A71" s="136" t="s">
        <v>419</v>
      </c>
      <c r="B71" s="99">
        <f aca="true" t="shared" si="15" ref="B71:G71">SUM(B72:B75)</f>
        <v>2159249916</v>
      </c>
      <c r="C71" s="99">
        <f t="shared" si="15"/>
        <v>5449846.39</v>
      </c>
      <c r="D71" s="99">
        <f t="shared" si="15"/>
        <v>2164699762.39</v>
      </c>
      <c r="E71" s="99">
        <f t="shared" si="15"/>
        <v>1208731511.99</v>
      </c>
      <c r="F71" s="99">
        <f t="shared" si="15"/>
        <v>1208731511.99</v>
      </c>
      <c r="G71" s="99">
        <f t="shared" si="15"/>
        <v>955968250.3999999</v>
      </c>
    </row>
    <row r="72" spans="1:7" ht="15">
      <c r="A72" s="36" t="s">
        <v>413</v>
      </c>
      <c r="B72" s="97">
        <v>0</v>
      </c>
      <c r="C72" s="97">
        <v>0</v>
      </c>
      <c r="D72" s="97">
        <v>0</v>
      </c>
      <c r="E72" s="97">
        <v>0</v>
      </c>
      <c r="F72" s="97">
        <v>0</v>
      </c>
      <c r="G72" s="97">
        <f>D72-E72</f>
        <v>0</v>
      </c>
    </row>
    <row r="73" spans="1:7" ht="30">
      <c r="A73" s="36" t="s">
        <v>414</v>
      </c>
      <c r="B73" s="97">
        <v>2159249916</v>
      </c>
      <c r="C73" s="97">
        <v>5449846.39</v>
      </c>
      <c r="D73" s="97">
        <v>2164699762.39</v>
      </c>
      <c r="E73" s="97">
        <v>1208731511.99</v>
      </c>
      <c r="F73" s="97">
        <v>1208731511.99</v>
      </c>
      <c r="G73" s="97">
        <f>D73-E73</f>
        <v>955968250.3999999</v>
      </c>
    </row>
    <row r="74" spans="1:7" ht="15">
      <c r="A74" s="36" t="s">
        <v>415</v>
      </c>
      <c r="B74" s="97">
        <v>0</v>
      </c>
      <c r="C74" s="97">
        <v>0</v>
      </c>
      <c r="D74" s="97">
        <v>0</v>
      </c>
      <c r="E74" s="97">
        <v>0</v>
      </c>
      <c r="F74" s="97">
        <v>0</v>
      </c>
      <c r="G74" s="97">
        <f>D74-E74</f>
        <v>0</v>
      </c>
    </row>
    <row r="75" spans="1:7" ht="15">
      <c r="A75" s="36" t="s">
        <v>416</v>
      </c>
      <c r="B75" s="97">
        <v>0</v>
      </c>
      <c r="C75" s="97">
        <v>0</v>
      </c>
      <c r="D75" s="97">
        <v>0</v>
      </c>
      <c r="E75" s="97">
        <v>0</v>
      </c>
      <c r="F75" s="97">
        <v>0</v>
      </c>
      <c r="G75" s="97">
        <f>D75-E75</f>
        <v>0</v>
      </c>
    </row>
    <row r="76" spans="1:7" ht="15">
      <c r="A76" s="29"/>
      <c r="B76" s="100"/>
      <c r="C76" s="100"/>
      <c r="D76" s="100"/>
      <c r="E76" s="100"/>
      <c r="F76" s="100"/>
      <c r="G76" s="100"/>
    </row>
    <row r="77" spans="1:7" ht="15">
      <c r="A77" s="130" t="s">
        <v>374</v>
      </c>
      <c r="B77" s="98">
        <f aca="true" t="shared" si="16" ref="B77:G77">B43+B9</f>
        <v>24826718921</v>
      </c>
      <c r="C77" s="98">
        <f t="shared" si="16"/>
        <v>1910449185.31</v>
      </c>
      <c r="D77" s="98">
        <f t="shared" si="16"/>
        <v>26737168106.309998</v>
      </c>
      <c r="E77" s="98">
        <f t="shared" si="16"/>
        <v>12168253853.48</v>
      </c>
      <c r="F77" s="98">
        <f t="shared" si="16"/>
        <v>12162086255.48</v>
      </c>
      <c r="G77" s="98">
        <f t="shared" si="16"/>
        <v>14568914252.829998</v>
      </c>
    </row>
    <row r="78" spans="1:7" ht="15">
      <c r="A78" s="30"/>
      <c r="B78" s="107"/>
      <c r="C78" s="107"/>
      <c r="D78" s="107"/>
      <c r="E78" s="107"/>
      <c r="F78" s="107"/>
      <c r="G78" s="108"/>
    </row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B37 G28:G36 B27:F27 B19:F19 G10:G18 B10:F10 B9:C9 D9:IV9 G38:G41 C37:F37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90" zoomScaleNormal="8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E28" sqref="E28"/>
    </sheetView>
  </sheetViews>
  <sheetFormatPr defaultColWidth="0.71875" defaultRowHeight="15" zeroHeight="1"/>
  <cols>
    <col min="1" max="1" width="77.140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68" t="s">
        <v>420</v>
      </c>
      <c r="B1" s="165"/>
      <c r="C1" s="165"/>
      <c r="D1" s="165"/>
      <c r="E1" s="165"/>
      <c r="F1" s="165"/>
      <c r="G1" s="165"/>
    </row>
    <row r="2" spans="1:7" ht="15">
      <c r="A2" s="146" t="s">
        <v>289</v>
      </c>
      <c r="B2" s="147"/>
      <c r="C2" s="147"/>
      <c r="D2" s="147"/>
      <c r="E2" s="147"/>
      <c r="F2" s="147"/>
      <c r="G2" s="148"/>
    </row>
    <row r="3" spans="1:7" ht="15">
      <c r="A3" s="152" t="s">
        <v>291</v>
      </c>
      <c r="B3" s="153"/>
      <c r="C3" s="153"/>
      <c r="D3" s="153"/>
      <c r="E3" s="153"/>
      <c r="F3" s="153"/>
      <c r="G3" s="154"/>
    </row>
    <row r="4" spans="1:7" ht="15">
      <c r="A4" s="152" t="s">
        <v>421</v>
      </c>
      <c r="B4" s="153"/>
      <c r="C4" s="153"/>
      <c r="D4" s="153"/>
      <c r="E4" s="153"/>
      <c r="F4" s="153"/>
      <c r="G4" s="154"/>
    </row>
    <row r="5" spans="1:7" ht="15">
      <c r="A5" s="152" t="s">
        <v>479</v>
      </c>
      <c r="B5" s="153"/>
      <c r="C5" s="153"/>
      <c r="D5" s="153"/>
      <c r="E5" s="153"/>
      <c r="F5" s="153"/>
      <c r="G5" s="154"/>
    </row>
    <row r="6" spans="1:7" ht="15">
      <c r="A6" s="155" t="s">
        <v>2</v>
      </c>
      <c r="B6" s="156"/>
      <c r="C6" s="156"/>
      <c r="D6" s="156"/>
      <c r="E6" s="156"/>
      <c r="F6" s="156"/>
      <c r="G6" s="157"/>
    </row>
    <row r="7" spans="1:7" ht="15">
      <c r="A7" s="162" t="s">
        <v>422</v>
      </c>
      <c r="B7" s="166" t="s">
        <v>293</v>
      </c>
      <c r="C7" s="166"/>
      <c r="D7" s="166"/>
      <c r="E7" s="166"/>
      <c r="F7" s="166"/>
      <c r="G7" s="166" t="s">
        <v>294</v>
      </c>
    </row>
    <row r="8" spans="1:7" ht="30">
      <c r="A8" s="163"/>
      <c r="B8" s="6" t="s">
        <v>295</v>
      </c>
      <c r="C8" s="27" t="s">
        <v>383</v>
      </c>
      <c r="D8" s="27" t="s">
        <v>227</v>
      </c>
      <c r="E8" s="27" t="s">
        <v>182</v>
      </c>
      <c r="F8" s="27" t="s">
        <v>199</v>
      </c>
      <c r="G8" s="172"/>
    </row>
    <row r="9" spans="1:7" ht="15">
      <c r="A9" s="132" t="s">
        <v>423</v>
      </c>
      <c r="B9" s="101">
        <f aca="true" t="shared" si="0" ref="B9:G9">SUM(B10,B11,B12,B15,B16,B19)</f>
        <v>2907487588</v>
      </c>
      <c r="C9" s="101">
        <f t="shared" si="0"/>
        <v>7170898.799999999</v>
      </c>
      <c r="D9" s="101">
        <f t="shared" si="0"/>
        <v>2914658486.799999</v>
      </c>
      <c r="E9" s="101">
        <f t="shared" si="0"/>
        <v>1324849083.5799973</v>
      </c>
      <c r="F9" s="101">
        <f>SUM(F10,F11,F12,F15,F16,F19)</f>
        <v>1318681485.5799952</v>
      </c>
      <c r="G9" s="101">
        <f t="shared" si="0"/>
        <v>1589809403.2200024</v>
      </c>
    </row>
    <row r="10" spans="1:7" ht="15">
      <c r="A10" s="138" t="s">
        <v>424</v>
      </c>
      <c r="B10" s="102">
        <v>1873552210</v>
      </c>
      <c r="C10" s="102">
        <v>-10384810.459999999</v>
      </c>
      <c r="D10" s="102">
        <v>1863167399.5399997</v>
      </c>
      <c r="E10" s="102">
        <v>804528454.4199976</v>
      </c>
      <c r="F10" s="102">
        <v>800669864.8799946</v>
      </c>
      <c r="G10" s="102">
        <f>D10-E10</f>
        <v>1058638945.1200022</v>
      </c>
    </row>
    <row r="11" spans="1:7" ht="15">
      <c r="A11" s="138" t="s">
        <v>425</v>
      </c>
      <c r="B11" s="102">
        <v>105953415</v>
      </c>
      <c r="C11" s="102">
        <v>-4650407.260000002</v>
      </c>
      <c r="D11" s="102">
        <v>101303007.74000001</v>
      </c>
      <c r="E11" s="102">
        <v>43054339.740000024</v>
      </c>
      <c r="F11" s="102">
        <v>42863786.110000014</v>
      </c>
      <c r="G11" s="102">
        <f>D11-E11</f>
        <v>58248667.999999985</v>
      </c>
    </row>
    <row r="12" spans="1:7" ht="15">
      <c r="A12" s="138" t="s">
        <v>426</v>
      </c>
      <c r="B12" s="102">
        <f aca="true" t="shared" si="1" ref="B12:G12">B13+B14</f>
        <v>267272715</v>
      </c>
      <c r="C12" s="102">
        <f t="shared" si="1"/>
        <v>-1445982.0700000008</v>
      </c>
      <c r="D12" s="102">
        <f aca="true" t="shared" si="2" ref="D12:D18">+B12+C12</f>
        <v>265826732.93</v>
      </c>
      <c r="E12" s="102">
        <f t="shared" si="1"/>
        <v>140500129.69000003</v>
      </c>
      <c r="F12" s="102">
        <f t="shared" si="1"/>
        <v>139801526.41</v>
      </c>
      <c r="G12" s="102">
        <f t="shared" si="1"/>
        <v>125326603.23999995</v>
      </c>
    </row>
    <row r="13" spans="1:7" ht="15">
      <c r="A13" s="133" t="s">
        <v>427</v>
      </c>
      <c r="B13" s="102">
        <v>47803628</v>
      </c>
      <c r="C13" s="102">
        <v>57735.13000000006</v>
      </c>
      <c r="D13" s="102">
        <v>47861363.13</v>
      </c>
      <c r="E13" s="102">
        <v>21973972.94</v>
      </c>
      <c r="F13" s="102">
        <v>21866774.7</v>
      </c>
      <c r="G13" s="102">
        <f>D13-E13</f>
        <v>25887390.19</v>
      </c>
    </row>
    <row r="14" spans="1:7" ht="15">
      <c r="A14" s="133" t="s">
        <v>428</v>
      </c>
      <c r="B14" s="102">
        <v>219469087</v>
      </c>
      <c r="C14" s="102">
        <v>-1503717.200000001</v>
      </c>
      <c r="D14" s="102">
        <v>217965369.79999998</v>
      </c>
      <c r="E14" s="102">
        <v>118526156.75000003</v>
      </c>
      <c r="F14" s="102">
        <v>117934751.71000001</v>
      </c>
      <c r="G14" s="102">
        <f>D14-E14</f>
        <v>99439213.04999995</v>
      </c>
    </row>
    <row r="15" spans="1:7" ht="15">
      <c r="A15" s="138" t="s">
        <v>429</v>
      </c>
      <c r="B15" s="102">
        <v>660709248</v>
      </c>
      <c r="C15" s="102">
        <v>22952098.59</v>
      </c>
      <c r="D15" s="120">
        <v>683661346.5899999</v>
      </c>
      <c r="E15" s="102">
        <v>336766159.7299996</v>
      </c>
      <c r="F15" s="120">
        <v>335346308.1800004</v>
      </c>
      <c r="G15" s="102">
        <f>D15-E15</f>
        <v>346895186.8600003</v>
      </c>
    </row>
    <row r="16" spans="1:7" ht="30">
      <c r="A16" s="144" t="s">
        <v>430</v>
      </c>
      <c r="B16" s="102">
        <f aca="true" t="shared" si="3" ref="B16:G16">B17+B18</f>
        <v>0</v>
      </c>
      <c r="C16" s="102">
        <f t="shared" si="3"/>
        <v>0</v>
      </c>
      <c r="D16" s="102">
        <f t="shared" si="2"/>
        <v>0</v>
      </c>
      <c r="E16" s="102">
        <f t="shared" si="3"/>
        <v>0</v>
      </c>
      <c r="F16" s="102">
        <f t="shared" si="3"/>
        <v>0</v>
      </c>
      <c r="G16" s="102">
        <f t="shared" si="3"/>
        <v>0</v>
      </c>
    </row>
    <row r="17" spans="1:7" ht="15">
      <c r="A17" s="133" t="s">
        <v>431</v>
      </c>
      <c r="B17" s="102">
        <v>0</v>
      </c>
      <c r="C17" s="102">
        <v>0</v>
      </c>
      <c r="D17" s="102">
        <f t="shared" si="2"/>
        <v>0</v>
      </c>
      <c r="E17" s="102">
        <v>0</v>
      </c>
      <c r="F17" s="102">
        <v>0</v>
      </c>
      <c r="G17" s="102">
        <f>D17-E17</f>
        <v>0</v>
      </c>
    </row>
    <row r="18" spans="1:7" ht="15">
      <c r="A18" s="133" t="s">
        <v>432</v>
      </c>
      <c r="B18" s="102">
        <v>0</v>
      </c>
      <c r="C18" s="102">
        <v>0</v>
      </c>
      <c r="D18" s="102">
        <f t="shared" si="2"/>
        <v>0</v>
      </c>
      <c r="E18" s="102">
        <v>0</v>
      </c>
      <c r="F18" s="102">
        <v>0</v>
      </c>
      <c r="G18" s="102">
        <f>D18-E18</f>
        <v>0</v>
      </c>
    </row>
    <row r="19" spans="1:7" ht="15">
      <c r="A19" s="138" t="s">
        <v>433</v>
      </c>
      <c r="B19" s="102">
        <v>0</v>
      </c>
      <c r="C19" s="102">
        <v>700000</v>
      </c>
      <c r="D19" s="102">
        <v>700000</v>
      </c>
      <c r="E19" s="102">
        <v>0</v>
      </c>
      <c r="F19" s="102">
        <v>0</v>
      </c>
      <c r="G19" s="102">
        <f>D19-E19</f>
        <v>700000</v>
      </c>
    </row>
    <row r="20" spans="1:7" ht="15">
      <c r="A20" s="29"/>
      <c r="B20" s="103"/>
      <c r="C20" s="103"/>
      <c r="D20" s="103"/>
      <c r="E20" s="103"/>
      <c r="F20" s="103"/>
      <c r="G20" s="103"/>
    </row>
    <row r="21" spans="1:8" ht="15">
      <c r="A21" s="141" t="s">
        <v>434</v>
      </c>
      <c r="B21" s="101">
        <f aca="true" t="shared" si="4" ref="B21:G21">SUM(B22,B23,B24,B27,B28,B31)</f>
        <v>5018053722</v>
      </c>
      <c r="C21" s="101">
        <f t="shared" si="4"/>
        <v>0</v>
      </c>
      <c r="D21" s="101">
        <f t="shared" si="4"/>
        <v>5018053722</v>
      </c>
      <c r="E21" s="101">
        <f t="shared" si="4"/>
        <v>2316644594.5</v>
      </c>
      <c r="F21" s="101">
        <f>SUM(F22,F23,F24,F27,F28,F31)</f>
        <v>2316644594.5</v>
      </c>
      <c r="G21" s="101">
        <f t="shared" si="4"/>
        <v>2701409127.5</v>
      </c>
      <c r="H21" s="9"/>
    </row>
    <row r="22" spans="1:8" ht="15">
      <c r="A22" s="138" t="s">
        <v>424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f>D22-E22</f>
        <v>0</v>
      </c>
      <c r="H22" s="9"/>
    </row>
    <row r="23" spans="1:8" ht="15">
      <c r="A23" s="138" t="s">
        <v>425</v>
      </c>
      <c r="B23" s="102">
        <v>5018053722</v>
      </c>
      <c r="C23" s="102">
        <v>0</v>
      </c>
      <c r="D23" s="102">
        <v>5018053722</v>
      </c>
      <c r="E23" s="120">
        <v>2316644594.5</v>
      </c>
      <c r="F23" s="120">
        <v>2316644594.5</v>
      </c>
      <c r="G23" s="102">
        <f>D23-E23</f>
        <v>2701409127.5</v>
      </c>
      <c r="H23" s="9"/>
    </row>
    <row r="24" spans="1:8" ht="15">
      <c r="A24" s="138" t="s">
        <v>426</v>
      </c>
      <c r="B24" s="102">
        <f aca="true" t="shared" si="5" ref="B24:G24">B25+B26</f>
        <v>0</v>
      </c>
      <c r="C24" s="102">
        <f t="shared" si="5"/>
        <v>0</v>
      </c>
      <c r="D24" s="102">
        <f t="shared" si="5"/>
        <v>0</v>
      </c>
      <c r="E24" s="102">
        <f t="shared" si="5"/>
        <v>0</v>
      </c>
      <c r="F24" s="102">
        <f t="shared" si="5"/>
        <v>0</v>
      </c>
      <c r="G24" s="102">
        <f t="shared" si="5"/>
        <v>0</v>
      </c>
      <c r="H24" s="9"/>
    </row>
    <row r="25" spans="1:8" ht="15">
      <c r="A25" s="133" t="s">
        <v>427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f>D25-E25</f>
        <v>0</v>
      </c>
      <c r="H25" s="9"/>
    </row>
    <row r="26" spans="1:8" ht="15">
      <c r="A26" s="133" t="s">
        <v>428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f>D26-E26</f>
        <v>0</v>
      </c>
      <c r="H26" s="9"/>
    </row>
    <row r="27" spans="1:8" ht="15">
      <c r="A27" s="138" t="s">
        <v>429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f>D27-E27</f>
        <v>0</v>
      </c>
      <c r="H27" s="9"/>
    </row>
    <row r="28" spans="1:8" ht="30">
      <c r="A28" s="144" t="s">
        <v>430</v>
      </c>
      <c r="B28" s="102">
        <f aca="true" t="shared" si="6" ref="B28:G28">B29+B30</f>
        <v>0</v>
      </c>
      <c r="C28" s="102">
        <f t="shared" si="6"/>
        <v>0</v>
      </c>
      <c r="D28" s="102">
        <f t="shared" si="6"/>
        <v>0</v>
      </c>
      <c r="E28" s="102">
        <f t="shared" si="6"/>
        <v>0</v>
      </c>
      <c r="F28" s="102">
        <f t="shared" si="6"/>
        <v>0</v>
      </c>
      <c r="G28" s="102">
        <f t="shared" si="6"/>
        <v>0</v>
      </c>
      <c r="H28" s="9"/>
    </row>
    <row r="29" spans="1:8" ht="15">
      <c r="A29" s="133" t="s">
        <v>431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f>D29-E29</f>
        <v>0</v>
      </c>
      <c r="H29" s="9"/>
    </row>
    <row r="30" spans="1:8" ht="15">
      <c r="A30" s="133" t="s">
        <v>432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f>D30-E30</f>
        <v>0</v>
      </c>
      <c r="H30" s="9"/>
    </row>
    <row r="31" spans="1:8" ht="15">
      <c r="A31" s="138" t="s">
        <v>433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f>D31-E31</f>
        <v>0</v>
      </c>
      <c r="H31" s="9"/>
    </row>
    <row r="32" spans="1:7" ht="15">
      <c r="A32" s="29"/>
      <c r="B32" s="103"/>
      <c r="C32" s="103"/>
      <c r="D32" s="103"/>
      <c r="E32" s="103"/>
      <c r="F32" s="103"/>
      <c r="G32" s="103"/>
    </row>
    <row r="33" spans="1:7" ht="15">
      <c r="A33" s="130" t="s">
        <v>435</v>
      </c>
      <c r="B33" s="101">
        <f aca="true" t="shared" si="7" ref="B33:G33">B21+B9</f>
        <v>7925541310</v>
      </c>
      <c r="C33" s="101">
        <f t="shared" si="7"/>
        <v>7170898.799999999</v>
      </c>
      <c r="D33" s="101">
        <f t="shared" si="7"/>
        <v>7932712208.799999</v>
      </c>
      <c r="E33" s="101">
        <f t="shared" si="7"/>
        <v>3641493678.079997</v>
      </c>
      <c r="F33" s="101">
        <f t="shared" si="7"/>
        <v>3635326080.079995</v>
      </c>
      <c r="G33" s="101">
        <f t="shared" si="7"/>
        <v>4291218530.720002</v>
      </c>
    </row>
    <row r="34" spans="1:7" ht="15">
      <c r="A34" s="30"/>
      <c r="B34" s="117"/>
      <c r="C34" s="117"/>
      <c r="D34" s="117"/>
      <c r="E34" s="117"/>
      <c r="F34" s="117"/>
      <c r="G34" s="117"/>
    </row>
    <row r="35" spans="2:7" ht="15" hidden="1">
      <c r="B35" s="28"/>
      <c r="C35" s="28"/>
      <c r="D35" s="28"/>
      <c r="E35" s="28"/>
      <c r="F35" s="28"/>
      <c r="G35" s="28"/>
    </row>
    <row r="36" spans="2:7" ht="15" hidden="1">
      <c r="B36" s="28"/>
      <c r="C36" s="28"/>
      <c r="D36" s="28"/>
      <c r="E36" s="28"/>
      <c r="F36" s="28"/>
      <c r="G36" s="28"/>
    </row>
    <row r="37" spans="2:7" ht="15" hidden="1">
      <c r="B37" s="28"/>
      <c r="C37" s="28"/>
      <c r="D37" s="28"/>
      <c r="E37" s="28"/>
      <c r="F37" s="28"/>
      <c r="G37" s="28"/>
    </row>
    <row r="38" spans="2:7" ht="15" hidden="1">
      <c r="B38" s="28"/>
      <c r="C38" s="28"/>
      <c r="D38" s="28"/>
      <c r="E38" s="28"/>
      <c r="F38" s="28"/>
      <c r="G38" s="28"/>
    </row>
    <row r="39" spans="2:7" ht="15" hidden="1">
      <c r="B39" s="28"/>
      <c r="C39" s="28"/>
      <c r="D39" s="28"/>
      <c r="E39" s="28"/>
      <c r="F39" s="28"/>
      <c r="G39" s="28"/>
    </row>
    <row r="40" spans="2:7" ht="15" hidden="1">
      <c r="B40" s="28"/>
      <c r="C40" s="28"/>
      <c r="D40" s="28"/>
      <c r="E40" s="28"/>
      <c r="F40" s="28"/>
      <c r="G40" s="28"/>
    </row>
    <row r="41" spans="2:7" ht="15" hidden="1">
      <c r="B41" s="28"/>
      <c r="C41" s="28"/>
      <c r="D41" s="28"/>
      <c r="E41" s="28"/>
      <c r="F41" s="28"/>
      <c r="G41" s="28"/>
    </row>
    <row r="42" spans="2:7" ht="15" hidden="1">
      <c r="B42" s="28"/>
      <c r="C42" s="28"/>
      <c r="D42" s="28"/>
      <c r="E42" s="28"/>
      <c r="F42" s="28"/>
      <c r="G42" s="28"/>
    </row>
    <row r="43" spans="2:7" ht="15" hidden="1">
      <c r="B43" s="28"/>
      <c r="C43" s="28"/>
      <c r="D43" s="28"/>
      <c r="E43" s="28"/>
      <c r="F43" s="28"/>
      <c r="G43" s="28"/>
    </row>
    <row r="44" spans="2:7" ht="15" hidden="1">
      <c r="B44" s="28"/>
      <c r="C44" s="28"/>
      <c r="D44" s="28"/>
      <c r="E44" s="28"/>
      <c r="F44" s="28"/>
      <c r="G44" s="28"/>
    </row>
    <row r="45" spans="2:7" ht="15" hidden="1">
      <c r="B45" s="28"/>
      <c r="C45" s="28"/>
      <c r="D45" s="28"/>
      <c r="E45" s="28"/>
      <c r="F45" s="28"/>
      <c r="G45" s="28"/>
    </row>
    <row r="46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8" r:id="rId1"/>
  <ignoredErrors>
    <ignoredError sqref="B9:F9 B12:C12 B16:C16 B21:F21 B24:F24 B28:F28 B33:F33 G9:G11 G13:G14 G29:G33 E12:F12 E16:F16 D17:D18 G27 G25 G17:G23 G15 G26" unlockedFormula="1"/>
    <ignoredError sqref="G12 G28 D16 D12 G24 G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Usuario</cp:lastModifiedBy>
  <cp:lastPrinted>2023-04-25T20:38:39Z</cp:lastPrinted>
  <dcterms:created xsi:type="dcterms:W3CDTF">2019-07-09T15:27:10Z</dcterms:created>
  <dcterms:modified xsi:type="dcterms:W3CDTF">2024-01-09T16:51:02Z</dcterms:modified>
  <cp:category/>
  <cp:version/>
  <cp:contentType/>
  <cp:contentStatus/>
</cp:coreProperties>
</file>