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7155" tabRatio="603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5">'Formato 6 a)'!$A$1:$G$159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<sst xmlns="http://schemas.openxmlformats.org/spreadsheetml/2006/main" count="702" uniqueCount="484">
  <si>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</si>
  <si>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</si>
  <si>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</si>
  <si>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</si>
  <si>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</si>
  <si>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</si>
  <si>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</si>
  <si>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</si>
  <si>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</si>
  <si>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</si>
  <si>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</si>
  <si>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</si>
  <si>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</si>
  <si>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</si>
  <si>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</si>
  <si>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</si>
  <si>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</si>
  <si>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</si>
  <si>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</si>
  <si>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</si>
  <si>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</si>
  <si>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</si>
  <si>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</si>
  <si>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</si>
  <si>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</si>
  <si>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</si>
  <si>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</si>
  <si>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</si>
  <si>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</si>
  <si>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</si>
  <si>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</si>
  <si>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</si>
  <si>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</si>
  <si>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</si>
  <si>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</si>
  <si>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</si>
  <si>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</si>
  <si>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</si>
  <si>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</si>
  <si>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</si>
  <si>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</si>
  <si>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</si>
  <si>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</si>
  <si>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</si>
  <si>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</si>
  <si>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</si>
  <si>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</si>
  <si>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</si>
  <si>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</si>
  <si>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</si>
  <si>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</si>
  <si>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</si>
  <si>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</si>
  <si>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</si>
  <si>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</si>
  <si>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</si>
  <si>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</si>
  <si>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</si>
  <si>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</si>
  <si>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</si>
  <si>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</si>
  <si>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</si>
  <si>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</si>
  <si>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</si>
  <si>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</si>
  <si>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</si>
  <si>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</si>
  <si>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</si>
  <si>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</si>
  <si>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</si>
  <si>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</si>
  <si>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</si>
  <si>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</si>
  <si>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</si>
  <si>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</si>
  <si>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</si>
  <si>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</si>
  <si>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</si>
  <si>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</si>
  <si>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</si>
  <si>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</si>
  <si>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</si>
  <si>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</si>
  <si>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</si>
  <si>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</si>
  <si>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</si>
  <si>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</si>
  <si>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</si>
  <si>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</si>
  <si>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</si>
  <si>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</si>
  <si>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</si>
  <si>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</si>
  <si>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</si>
  <si>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</si>
  <si>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</si>
  <si>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</si>
  <si>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</si>
  <si>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</si>
  <si>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</si>
  <si>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</si>
  <si>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</si>
  <si>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</si>
  <si>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</si>
  <si>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</si>
  <si>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</si>
  <si>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</si>
  <si>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</si>
  <si>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</si>
  <si>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</si>
  <si>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</si>
  <si>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</si>
  <si>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</si>
  <si>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</si>
  <si>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</si>
  <si>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</si>
  <si>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</si>
  <si>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</si>
  <si>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</si>
  <si>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</si>
  <si>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</si>
  <si>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</si>
  <si>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</si>
  <si>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</si>
  <si>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</si>
  <si>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</si>
  <si>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</si>
  <si>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</si>
  <si>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</si>
  <si>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</si>
  <si>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</si>
  <si>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</si>
  <si>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</si>
  <si>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</si>
  <si>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</si>
  <si>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</si>
  <si>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</si>
  <si>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</si>
  <si>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</si>
  <si>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</si>
  <si>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</si>
  <si>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</si>
  <si>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</si>
  <si>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</si>
  <si>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</si>
  <si>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</si>
  <si>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</si>
  <si>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</si>
  <si>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</si>
  <si>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</si>
  <si>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</si>
  <si>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</si>
  <si>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</si>
  <si>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</si>
  <si>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</si>
  <si>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</si>
  <si>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</si>
  <si>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</si>
  <si>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</si>
  <si>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</si>
  <si>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</si>
  <si>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</si>
  <si>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</si>
  <si>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</si>
  <si>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</si>
  <si>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</si>
  <si>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</si>
  <si>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</si>
  <si>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</si>
  <si>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</si>
  <si>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</si>
  <si>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</si>
  <si>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</si>
  <si>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</si>
  <si>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</si>
  <si>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</si>
  <si>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</si>
  <si>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</si>
  <si>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</si>
  <si>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</si>
  <si>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</si>
  <si>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</si>
  <si>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</si>
  <si>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</si>
  <si>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</si>
  <si>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</si>
  <si>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</si>
  <si>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</si>
  <si>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</si>
  <si>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</si>
  <si>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</si>
  <si>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</si>
  <si>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</si>
  <si>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</si>
  <si>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</si>
  <si>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</si>
  <si>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</si>
  <si>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</si>
  <si>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</si>
  <si>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</si>
  <si>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</si>
  <si>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</si>
  <si>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</si>
  <si>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</si>
  <si>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</si>
  <si>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</si>
  <si>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</si>
  <si>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</si>
  <si>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</si>
  <si>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</si>
  <si>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</si>
  <si>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</si>
  <si>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</si>
  <si>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</si>
  <si>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</si>
  <si>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</si>
  <si>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</si>
  <si>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</si>
  <si>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</si>
  <si>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</si>
  <si>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</si>
  <si>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</si>
  <si>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</si>
  <si>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</si>
  <si>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</si>
  <si>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</si>
  <si>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</si>
  <si>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</si>
  <si>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</si>
  <si>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</si>
  <si>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</si>
  <si>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</si>
  <si>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</si>
  <si>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</si>
  <si>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</si>
  <si>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</si>
  <si>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</si>
  <si>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</si>
  <si>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</si>
  <si>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</si>
  <si>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</si>
  <si>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</si>
  <si>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</si>
  <si>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</si>
  <si>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</si>
  <si>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</si>
  <si>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</si>
  <si>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</si>
  <si>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</si>
  <si>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</si>
  <si>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</si>
  <si>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</si>
  <si>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</si>
  <si>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</si>
  <si>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</si>
  <si>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</si>
  <si>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</si>
  <si>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</si>
  <si>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</si>
  <si>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</si>
  <si>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</si>
  <si>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</si>
  <si>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</si>
  <si>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</si>
  <si>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</si>
  <si>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</si>
  <si>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</si>
  <si>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</si>
  <si>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</si>
  <si>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</si>
  <si>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</si>
  <si>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</si>
  <si>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</si>
  <si>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</si>
  <si>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</si>
  <si>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</si>
  <si>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</si>
  <si>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</si>
  <si>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</si>
  <si>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</si>
  <si>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</si>
  <si>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</si>
  <si>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</si>
  <si>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</si>
  <si>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</si>
  <si>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</si>
  <si>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</si>
  <si>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</si>
  <si>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</si>
  <si>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</si>
  <si>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</si>
  <si>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</si>
  <si>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</si>
  <si>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</si>
  <si>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</si>
  <si>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</si>
  <si>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</si>
  <si>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</si>
  <si>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</si>
  <si>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</si>
  <si>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</si>
  <si>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</si>
  <si>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</si>
  <si>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</si>
  <si>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</si>
  <si>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</si>
  <si>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</si>
  <si>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</si>
  <si>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</si>
  <si>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</si>
  <si>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</si>
  <si>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</si>
  <si>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</si>
  <si>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</si>
  <si>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</si>
  <si>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</si>
  <si>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</si>
  <si>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</si>
  <si>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</si>
  <si>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</si>
  <si>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</si>
  <si>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</si>
  <si>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</si>
  <si>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</si>
  <si>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</si>
  <si>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</si>
  <si>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</si>
  <si>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</si>
  <si>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</si>
  <si>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</si>
  <si>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</si>
  <si>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</si>
  <si>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</si>
  <si>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</si>
  <si>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</si>
  <si>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</si>
  <si>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</si>
  <si>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</si>
  <si>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</si>
  <si>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</si>
  <si>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</si>
  <si>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</si>
  <si>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</si>
  <si>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</si>
  <si>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</si>
  <si>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</si>
  <si>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</si>
  <si>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</si>
  <si>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</si>
  <si>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</si>
  <si>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</si>
  <si>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</si>
  <si>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</si>
  <si>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</si>
  <si>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</si>
  <si>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</si>
  <si>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</si>
  <si>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</si>
  <si>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</si>
  <si>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</si>
  <si>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</si>
  <si>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</si>
  <si>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</si>
  <si>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</si>
  <si>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</si>
  <si>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</si>
  <si>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</si>
  <si>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</si>
  <si>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</si>
  <si>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</si>
  <si>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</si>
  <si>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</si>
  <si>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</si>
  <si>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</si>
  <si>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</si>
  <si>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</si>
  <si>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</si>
  <si>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</si>
  <si>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</si>
  <si>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</si>
  <si>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</si>
  <si>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</si>
  <si>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</si>
  <si>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</si>
  <si>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</si>
  <si>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</si>
  <si>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</si>
  <si>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</si>
  <si>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</si>
  <si>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</si>
  <si>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</si>
  <si>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</si>
  <si>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</si>
  <si>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</si>
  <si>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</si>
  <si>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</si>
  <si>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</si>
  <si>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</si>
  <si>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</si>
  <si>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</si>
  <si>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</si>
  <si>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</si>
  <si>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</si>
  <si>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</si>
  <si>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</si>
  <si>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</si>
  <si>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</si>
  <si>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</si>
  <si>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</si>
  <si>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</si>
  <si>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</si>
  <si>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</si>
  <si>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</si>
  <si>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</si>
  <si>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</si>
  <si>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</si>
  <si>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</si>
  <si>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</si>
  <si>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</si>
  <si>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</si>
  <si>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</si>
  <si>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</si>
  <si>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</si>
  <si>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</si>
  <si>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</si>
  <si>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</si>
  <si>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</si>
  <si>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</si>
  <si>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</si>
  <si>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</si>
  <si>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</si>
  <si>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</si>
  <si>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</si>
  <si>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</si>
  <si>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</si>
  <si>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</si>
  <si>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</si>
  <si>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</si>
  <si>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</si>
  <si>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</si>
  <si>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</si>
  <si>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</si>
  <si>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</si>
  <si>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</si>
  <si>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</si>
  <si>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</si>
  <si>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</si>
  <si>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</si>
  <si>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</si>
  <si>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</si>
  <si>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</si>
  <si>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</si>
  <si>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</si>
  <si>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</si>
  <si>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</si>
  <si>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</si>
  <si>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Provisiones del Estado</t>
  </si>
  <si>
    <t>g5) Inversiones en Fideicomisos, Mandatos y Otros Análogos
        Fideicomiso de Desastres Naturales (Informativo)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</si>
  <si>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</si>
  <si>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</si>
  <si>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</si>
  <si>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</si>
  <si>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</si>
  <si>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</si>
  <si>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</si>
  <si>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</si>
  <si>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</si>
  <si>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</si>
  <si>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</si>
  <si>
    <t>J. Transferencias y Asignaciones</t>
  </si>
  <si>
    <t/>
  </si>
  <si>
    <t>D. Transferencias, Asignaciones, Subsidios y Subvenciones, y Pensiones y Jubilaciones</t>
  </si>
  <si>
    <t>2023 (d)</t>
  </si>
  <si>
    <t>31 de diciembre de 2022 (e)</t>
  </si>
  <si>
    <t>Al 31 de marzo de 2023 y al 31 de diciembre de 2022 (b)</t>
  </si>
  <si>
    <t>Saldo al 31 de diciembre de 2022 (d)</t>
  </si>
  <si>
    <t>Del 1 enero al 31 de marzo de 2023 (b)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</si>
  <si>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</si>
  <si>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</si>
  <si>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</si>
  <si>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Del 1 de enero al 31 de marzo de 2023 (b)</t>
  </si>
  <si>
    <t>BANAMEX, S. A.</t>
  </si>
  <si>
    <t>SANTANDER, S. A.</t>
  </si>
  <si>
    <t>BBVA BANCOMER, S. 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</si>
</sst>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sz val="10"/>
      <color indexed="8"/>
      <name val="Averta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sz val="10"/>
      <color theme="1"/>
      <name val="Averta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 diagonalUp="1">
      <left style="thin"/>
      <right>
        <color indexed="63"/>
      </right>
      <top/>
      <bottom/>
      <diagonal style="thin">
        <color theme="1" tint="0.49998000264167786"/>
      </diagonal>
    </border>
    <border diagonalUp="1">
      <left>
        <color indexed="63"/>
      </left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44" fillId="33" borderId="11" xfId="0" applyFont="1" applyFill="1" applyBorder="1" applyAlignment="1">
      <alignment horizontal="left" vertical="center" wrapText="1" indent="3"/>
    </xf>
    <xf numFmtId="171" fontId="44" fillId="0" borderId="14" xfId="47" applyFont="1" applyFill="1" applyBorder="1" applyAlignment="1" applyProtection="1">
      <alignment/>
      <protection locked="0"/>
    </xf>
    <xf numFmtId="171" fontId="47" fillId="33" borderId="15" xfId="47" applyFont="1" applyFill="1" applyBorder="1" applyAlignment="1">
      <alignment/>
    </xf>
    <xf numFmtId="171" fontId="48" fillId="33" borderId="15" xfId="47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6"/>
    </xf>
    <xf numFmtId="0" fontId="0" fillId="34" borderId="14" xfId="0" applyFill="1" applyBorder="1" applyAlignment="1">
      <alignment horizontal="left" vertical="center" indent="9"/>
    </xf>
    <xf numFmtId="0" fontId="0" fillId="34" borderId="14" xfId="0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indent="9"/>
    </xf>
    <xf numFmtId="0" fontId="0" fillId="34" borderId="14" xfId="0" applyFill="1" applyBorder="1" applyAlignment="1">
      <alignment horizontal="left" indent="3"/>
    </xf>
    <xf numFmtId="0" fontId="44" fillId="34" borderId="14" xfId="0" applyFont="1" applyFill="1" applyBorder="1" applyAlignment="1">
      <alignment horizontal="left" indent="3"/>
    </xf>
    <xf numFmtId="171" fontId="44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 applyProtection="1">
      <alignment vertical="center"/>
      <protection locked="0"/>
    </xf>
    <xf numFmtId="171" fontId="0" fillId="34" borderId="14" xfId="47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4" xfId="0" applyFill="1" applyBorder="1" applyAlignment="1">
      <alignment horizontal="left" vertical="center" wrapText="1" indent="6"/>
    </xf>
    <xf numFmtId="0" fontId="0" fillId="34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horizontal="left" vertical="center" wrapText="1" indent="9"/>
    </xf>
    <xf numFmtId="0" fontId="0" fillId="34" borderId="14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4" xfId="0" applyFill="1" applyBorder="1" applyAlignment="1" applyProtection="1">
      <alignment horizontal="left" vertical="center" indent="6"/>
      <protection locked="0"/>
    </xf>
    <xf numFmtId="0" fontId="29" fillId="34" borderId="14" xfId="0" applyFont="1" applyFill="1" applyBorder="1" applyAlignment="1">
      <alignment vertical="center"/>
    </xf>
    <xf numFmtId="171" fontId="0" fillId="34" borderId="14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 vertical="center" wrapText="1" indent="3"/>
    </xf>
    <xf numFmtId="0" fontId="44" fillId="34" borderId="14" xfId="0" applyFont="1" applyFill="1" applyBorder="1" applyAlignment="1">
      <alignment horizontal="left" vertical="center" wrapText="1" indent="3"/>
    </xf>
    <xf numFmtId="0" fontId="0" fillId="34" borderId="16" xfId="0" applyFill="1" applyBorder="1" applyAlignment="1">
      <alignment horizontal="left" vertical="center" indent="6"/>
    </xf>
    <xf numFmtId="171" fontId="0" fillId="34" borderId="16" xfId="47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horizontal="left" vertical="center" wrapText="1" indent="9"/>
    </xf>
    <xf numFmtId="171" fontId="44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 horizontal="left" vertical="center" indent="12"/>
    </xf>
    <xf numFmtId="171" fontId="0" fillId="34" borderId="14" xfId="47" applyFont="1" applyFill="1" applyBorder="1" applyAlignment="1" applyProtection="1">
      <alignment/>
      <protection locked="0"/>
    </xf>
    <xf numFmtId="171" fontId="0" fillId="34" borderId="16" xfId="47" applyFont="1" applyFill="1" applyBorder="1" applyAlignment="1" applyProtection="1">
      <alignment vertical="center"/>
      <protection locked="0"/>
    </xf>
    <xf numFmtId="0" fontId="44" fillId="34" borderId="14" xfId="0" applyFont="1" applyFill="1" applyBorder="1" applyAlignment="1">
      <alignment vertical="center"/>
    </xf>
    <xf numFmtId="171" fontId="44" fillId="34" borderId="14" xfId="47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44" fillId="34" borderId="13" xfId="0" applyFont="1" applyFill="1" applyBorder="1" applyAlignment="1">
      <alignment horizontal="left" vertical="center" wrapText="1" indent="3"/>
    </xf>
    <xf numFmtId="171" fontId="44" fillId="34" borderId="14" xfId="47" applyFont="1" applyFill="1" applyBorder="1" applyAlignment="1">
      <alignment/>
    </xf>
    <xf numFmtId="171" fontId="0" fillId="34" borderId="14" xfId="47" applyFont="1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172" fontId="0" fillId="34" borderId="14" xfId="0" applyNumberFormat="1" applyFill="1" applyBorder="1" applyAlignment="1" applyProtection="1">
      <alignment vertical="center"/>
      <protection locked="0"/>
    </xf>
    <xf numFmtId="16" fontId="0" fillId="34" borderId="14" xfId="0" applyNumberFormat="1" applyFill="1" applyBorder="1" applyAlignment="1">
      <alignment vertical="center"/>
    </xf>
    <xf numFmtId="0" fontId="44" fillId="34" borderId="14" xfId="0" applyFont="1" applyFill="1" applyBorder="1" applyAlignment="1">
      <alignment horizontal="left" vertical="center" indent="2"/>
    </xf>
    <xf numFmtId="0" fontId="0" fillId="34" borderId="14" xfId="0" applyFill="1" applyBorder="1" applyAlignment="1" applyProtection="1">
      <alignment horizontal="left" vertical="center" indent="4"/>
      <protection locked="0"/>
    </xf>
    <xf numFmtId="0" fontId="29" fillId="34" borderId="14" xfId="0" applyFont="1" applyFill="1" applyBorder="1" applyAlignment="1">
      <alignment horizontal="left" vertical="center"/>
    </xf>
    <xf numFmtId="0" fontId="44" fillId="34" borderId="17" xfId="0" applyFont="1" applyFill="1" applyBorder="1" applyAlignment="1">
      <alignment horizontal="left" vertical="center" indent="3"/>
    </xf>
    <xf numFmtId="0" fontId="0" fillId="34" borderId="17" xfId="0" applyFill="1" applyBorder="1" applyAlignment="1">
      <alignment horizontal="left" vertical="center" indent="5"/>
    </xf>
    <xf numFmtId="0" fontId="0" fillId="34" borderId="17" xfId="0" applyFill="1" applyBorder="1" applyAlignment="1">
      <alignment horizontal="left" vertical="center" indent="7"/>
    </xf>
    <xf numFmtId="0" fontId="0" fillId="34" borderId="17" xfId="0" applyFill="1" applyBorder="1" applyAlignment="1" applyProtection="1">
      <alignment horizontal="left" vertical="center" indent="5"/>
      <protection locked="0"/>
    </xf>
    <xf numFmtId="0" fontId="29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9" fillId="34" borderId="13" xfId="0" applyFont="1" applyFill="1" applyBorder="1" applyAlignment="1">
      <alignment/>
    </xf>
    <xf numFmtId="0" fontId="44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4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4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4" xfId="0" applyFill="1" applyBorder="1" applyAlignment="1" applyProtection="1">
      <alignment horizontal="left" vertical="center" wrapText="1" indent="6"/>
      <protection locked="0"/>
    </xf>
    <xf numFmtId="4" fontId="44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>
      <alignment vertical="center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4" xfId="0" applyNumberFormat="1" applyFill="1" applyBorder="1" applyAlignment="1">
      <alignment/>
    </xf>
    <xf numFmtId="4" fontId="0" fillId="34" borderId="14" xfId="47" applyNumberFormat="1" applyFont="1" applyFill="1" applyBorder="1" applyAlignment="1">
      <alignment/>
    </xf>
    <xf numFmtId="4" fontId="44" fillId="0" borderId="14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0" fillId="33" borderId="15" xfId="47" applyNumberFormat="1" applyFont="1" applyFill="1" applyBorder="1" applyAlignment="1">
      <alignment vertical="center"/>
    </xf>
    <xf numFmtId="4" fontId="44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 vertical="center"/>
    </xf>
    <xf numFmtId="4" fontId="0" fillId="0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/>
      <protection locked="0"/>
    </xf>
    <xf numFmtId="4" fontId="48" fillId="33" borderId="15" xfId="47" applyNumberFormat="1" applyFont="1" applyFill="1" applyBorder="1" applyAlignment="1">
      <alignment/>
    </xf>
    <xf numFmtId="4" fontId="0" fillId="0" borderId="14" xfId="47" applyNumberFormat="1" applyFont="1" applyFill="1" applyBorder="1" applyAlignment="1" applyProtection="1">
      <alignment/>
      <protection locked="0"/>
    </xf>
    <xf numFmtId="4" fontId="44" fillId="34" borderId="16" xfId="47" applyNumberFormat="1" applyFont="1" applyFill="1" applyBorder="1" applyAlignment="1" applyProtection="1">
      <alignment vertical="center"/>
      <protection locked="0"/>
    </xf>
    <xf numFmtId="4" fontId="44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4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4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4" fillId="34" borderId="18" xfId="0" applyFont="1" applyFill="1" applyBorder="1" applyAlignment="1">
      <alignment horizontal="left" vertical="center" indent="3"/>
    </xf>
    <xf numFmtId="0" fontId="44" fillId="34" borderId="14" xfId="0" applyFont="1" applyFill="1" applyBorder="1" applyAlignment="1">
      <alignment horizontal="left" vertical="center" indent="6"/>
    </xf>
    <xf numFmtId="0" fontId="44" fillId="34" borderId="14" xfId="0" applyFont="1" applyFill="1" applyBorder="1" applyAlignment="1">
      <alignment horizontal="left" indent="6"/>
    </xf>
    <xf numFmtId="173" fontId="49" fillId="0" borderId="20" xfId="0" applyNumberFormat="1" applyFont="1" applyFill="1" applyBorder="1" applyAlignment="1">
      <alignment horizontal="right" vertical="center" wrapText="1" readingOrder="1"/>
    </xf>
    <xf numFmtId="173" fontId="49" fillId="0" borderId="13" xfId="0" applyNumberFormat="1" applyFont="1" applyFill="1" applyBorder="1" applyAlignment="1">
      <alignment horizontal="right" vertical="center" wrapText="1" readingOrder="1"/>
    </xf>
    <xf numFmtId="173" fontId="49" fillId="0" borderId="21" xfId="0" applyNumberFormat="1" applyFont="1" applyFill="1" applyBorder="1" applyAlignment="1">
      <alignment horizontal="right" vertical="center" wrapText="1" readingOrder="1"/>
    </xf>
    <xf numFmtId="173" fontId="49" fillId="0" borderId="22" xfId="0" applyNumberFormat="1" applyFont="1" applyFill="1" applyBorder="1" applyAlignment="1">
      <alignment horizontal="right" vertical="center" wrapText="1" readingOrder="1"/>
    </xf>
    <xf numFmtId="4" fontId="0" fillId="34" borderId="17" xfId="47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4" fontId="44" fillId="34" borderId="14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/>
    </xf>
    <xf numFmtId="173" fontId="50" fillId="0" borderId="14" xfId="47" applyNumberFormat="1" applyFont="1" applyBorder="1" applyAlignment="1">
      <alignment/>
    </xf>
    <xf numFmtId="171" fontId="44" fillId="34" borderId="14" xfId="47" applyFont="1" applyFill="1" applyBorder="1" applyAlignment="1" applyProtection="1">
      <alignment/>
      <protection/>
    </xf>
    <xf numFmtId="0" fontId="44" fillId="0" borderId="17" xfId="0" applyFont="1" applyFill="1" applyBorder="1" applyAlignment="1">
      <alignment horizontal="left" vertical="center" indent="3"/>
    </xf>
    <xf numFmtId="4" fontId="0" fillId="0" borderId="15" xfId="47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24" xfId="47" applyNumberFormat="1" applyFont="1" applyFill="1" applyBorder="1" applyAlignment="1">
      <alignment/>
    </xf>
    <xf numFmtId="4" fontId="0" fillId="0" borderId="25" xfId="47" applyNumberFormat="1" applyFont="1" applyFill="1" applyBorder="1" applyAlignment="1">
      <alignment/>
    </xf>
    <xf numFmtId="4" fontId="44" fillId="0" borderId="14" xfId="47" applyNumberFormat="1" applyFont="1" applyFill="1" applyBorder="1" applyAlignment="1">
      <alignment/>
    </xf>
    <xf numFmtId="4" fontId="44" fillId="34" borderId="13" xfId="47" applyNumberFormat="1" applyFont="1" applyFill="1" applyBorder="1" applyAlignment="1" applyProtection="1">
      <alignment vertical="center"/>
      <protection locked="0"/>
    </xf>
    <xf numFmtId="4" fontId="0" fillId="34" borderId="0" xfId="47" applyNumberFormat="1" applyFont="1" applyFill="1" applyBorder="1" applyAlignment="1" applyProtection="1">
      <alignment vertical="center"/>
      <protection locked="0"/>
    </xf>
    <xf numFmtId="0" fontId="45" fillId="34" borderId="26" xfId="0" applyFont="1" applyFill="1" applyBorder="1" applyAlignment="1">
      <alignment horizontal="left" vertical="center"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51" fillId="34" borderId="26" xfId="0" applyFont="1" applyFill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9HKBVHC\compartido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PageLayoutView="0" workbookViewId="0" topLeftCell="A1">
      <selection activeCell="B49" sqref="B49"/>
    </sheetView>
  </sheetViews>
  <sheetFormatPr defaultColWidth="1.8515625" defaultRowHeight="15" zeroHeight="1"/>
  <cols>
    <col min="1" max="1" width="90.8515625" style="0" customWidth="1"/>
    <col min="2" max="3" width="20.00390625" style="87" customWidth="1"/>
    <col min="4" max="4" width="94.421875" style="0" customWidth="1"/>
    <col min="5" max="6" width="20.00390625" style="87" customWidth="1"/>
    <col min="7" max="255" width="11.421875" style="0" hidden="1" customWidth="1"/>
  </cols>
  <sheetData>
    <row r="1" spans="1:6" ht="21">
      <c r="A1" s="141" t="s">
        <v>0</v>
      </c>
      <c r="B1" s="141"/>
      <c r="C1" s="141"/>
      <c r="D1" s="141"/>
      <c r="E1" s="141"/>
      <c r="F1" s="141"/>
    </row>
    <row r="2" spans="1:6" ht="15">
      <c r="A2" s="142" t="s">
        <v>289</v>
      </c>
      <c r="B2" s="143"/>
      <c r="C2" s="143"/>
      <c r="D2" s="143"/>
      <c r="E2" s="143"/>
      <c r="F2" s="144"/>
    </row>
    <row r="3" spans="1:6" ht="15">
      <c r="A3" s="145" t="s">
        <v>1</v>
      </c>
      <c r="B3" s="146"/>
      <c r="C3" s="146"/>
      <c r="D3" s="146"/>
      <c r="E3" s="146"/>
      <c r="F3" s="147"/>
    </row>
    <row r="4" spans="1:6" ht="15">
      <c r="A4" s="148" t="s">
        <v>474</v>
      </c>
      <c r="B4" s="149"/>
      <c r="C4" s="149"/>
      <c r="D4" s="149"/>
      <c r="E4" s="149"/>
      <c r="F4" s="150"/>
    </row>
    <row r="5" spans="1:6" ht="15">
      <c r="A5" s="151" t="s">
        <v>2</v>
      </c>
      <c r="B5" s="152"/>
      <c r="C5" s="152"/>
      <c r="D5" s="152"/>
      <c r="E5" s="152"/>
      <c r="F5" s="153"/>
    </row>
    <row r="6" spans="1:6" ht="30">
      <c r="A6" s="1" t="s">
        <v>3</v>
      </c>
      <c r="B6" s="81" t="s">
        <v>472</v>
      </c>
      <c r="C6" s="88" t="s">
        <v>473</v>
      </c>
      <c r="D6" s="3" t="s">
        <v>4</v>
      </c>
      <c r="E6" s="81" t="s">
        <v>472</v>
      </c>
      <c r="F6" s="88" t="s">
        <v>473</v>
      </c>
    </row>
    <row r="7" spans="1:6" ht="15">
      <c r="A7" s="60" t="s">
        <v>5</v>
      </c>
      <c r="B7" s="82"/>
      <c r="C7" s="82"/>
      <c r="D7" s="71" t="s">
        <v>6</v>
      </c>
      <c r="E7" s="82"/>
      <c r="F7" s="82"/>
    </row>
    <row r="8" spans="1:6" ht="15">
      <c r="A8" s="60" t="s">
        <v>7</v>
      </c>
      <c r="B8" s="82"/>
      <c r="C8" s="82"/>
      <c r="D8" s="71" t="s">
        <v>8</v>
      </c>
      <c r="E8" s="82"/>
      <c r="F8" s="82"/>
    </row>
    <row r="9" spans="1:6" ht="15">
      <c r="A9" s="22" t="s">
        <v>9</v>
      </c>
      <c r="B9" s="85">
        <f>SUM(B10:B16)</f>
        <v>4200268227.35</v>
      </c>
      <c r="C9" s="85">
        <f>SUM(C10:C16)</f>
        <v>2526247681.0299997</v>
      </c>
      <c r="D9" s="112" t="s">
        <v>10</v>
      </c>
      <c r="E9" s="85">
        <f>SUM(E10:E18)</f>
        <v>98831890.78999999</v>
      </c>
      <c r="F9" s="85">
        <f>SUM(F10:F18)</f>
        <v>105408768.33</v>
      </c>
    </row>
    <row r="10" spans="1:6" ht="15">
      <c r="A10" s="73" t="s">
        <v>11</v>
      </c>
      <c r="B10" s="126">
        <v>265200</v>
      </c>
      <c r="C10" s="126">
        <v>165200</v>
      </c>
      <c r="D10" s="74" t="s">
        <v>12</v>
      </c>
      <c r="E10" s="83">
        <v>0</v>
      </c>
      <c r="F10" s="126">
        <v>0</v>
      </c>
    </row>
    <row r="11" spans="1:6" ht="15">
      <c r="A11" s="73" t="s">
        <v>13</v>
      </c>
      <c r="B11" s="126">
        <v>538225399.56</v>
      </c>
      <c r="C11" s="126">
        <v>383256385.64</v>
      </c>
      <c r="D11" s="74" t="s">
        <v>14</v>
      </c>
      <c r="E11" s="126">
        <v>0</v>
      </c>
      <c r="F11" s="126">
        <v>4069266.54</v>
      </c>
    </row>
    <row r="12" spans="1:6" ht="15">
      <c r="A12" s="73" t="s">
        <v>15</v>
      </c>
      <c r="B12" s="83">
        <v>0</v>
      </c>
      <c r="C12" s="126">
        <v>0</v>
      </c>
      <c r="D12" s="74" t="s">
        <v>16</v>
      </c>
      <c r="E12" s="126">
        <v>4575902.56</v>
      </c>
      <c r="F12" s="126">
        <v>33555506.43</v>
      </c>
    </row>
    <row r="13" spans="1:6" ht="15">
      <c r="A13" s="73" t="s">
        <v>17</v>
      </c>
      <c r="B13" s="126">
        <v>3512375973.98</v>
      </c>
      <c r="C13" s="126">
        <v>2020714406.71</v>
      </c>
      <c r="D13" s="74" t="s">
        <v>18</v>
      </c>
      <c r="E13" s="126">
        <v>3704970</v>
      </c>
      <c r="F13" s="126">
        <v>25960050</v>
      </c>
    </row>
    <row r="14" spans="1:6" ht="15">
      <c r="A14" s="73" t="s">
        <v>19</v>
      </c>
      <c r="B14" s="83">
        <v>0</v>
      </c>
      <c r="C14" s="126">
        <v>0</v>
      </c>
      <c r="D14" s="74" t="s">
        <v>20</v>
      </c>
      <c r="E14" s="126">
        <v>721165</v>
      </c>
      <c r="F14" s="126">
        <v>333733.7</v>
      </c>
    </row>
    <row r="15" spans="1:6" ht="15">
      <c r="A15" s="73" t="s">
        <v>21</v>
      </c>
      <c r="B15" s="126">
        <v>149401653.81</v>
      </c>
      <c r="C15" s="126">
        <v>122111688.68</v>
      </c>
      <c r="D15" s="74" t="s">
        <v>22</v>
      </c>
      <c r="E15" s="83">
        <v>0</v>
      </c>
      <c r="F15" s="126">
        <v>0</v>
      </c>
    </row>
    <row r="16" spans="1:6" ht="15">
      <c r="A16" s="73" t="s">
        <v>23</v>
      </c>
      <c r="B16" s="83">
        <v>0</v>
      </c>
      <c r="C16" s="126">
        <v>0</v>
      </c>
      <c r="D16" s="74" t="s">
        <v>24</v>
      </c>
      <c r="E16" s="126">
        <v>50413583.9</v>
      </c>
      <c r="F16" s="126">
        <v>4125105.77</v>
      </c>
    </row>
    <row r="17" spans="1:6" ht="15">
      <c r="A17" s="22" t="s">
        <v>25</v>
      </c>
      <c r="B17" s="85">
        <f>SUM(B18:B24)</f>
        <v>42644167.63</v>
      </c>
      <c r="C17" s="85">
        <f>SUM(C18:C24)</f>
        <v>16328770.48</v>
      </c>
      <c r="D17" s="74" t="s">
        <v>26</v>
      </c>
      <c r="E17" s="83">
        <v>0</v>
      </c>
      <c r="F17" s="126">
        <v>0</v>
      </c>
    </row>
    <row r="18" spans="1:6" ht="15">
      <c r="A18" s="75" t="s">
        <v>27</v>
      </c>
      <c r="B18" s="83">
        <v>0</v>
      </c>
      <c r="C18" s="126">
        <v>0</v>
      </c>
      <c r="D18" s="74" t="s">
        <v>28</v>
      </c>
      <c r="E18" s="126">
        <v>39416269.33</v>
      </c>
      <c r="F18" s="126">
        <v>37365105.89</v>
      </c>
    </row>
    <row r="19" spans="1:6" ht="15">
      <c r="A19" s="75" t="s">
        <v>29</v>
      </c>
      <c r="B19" s="83">
        <v>0</v>
      </c>
      <c r="C19" s="126">
        <v>0</v>
      </c>
      <c r="D19" s="112" t="s">
        <v>30</v>
      </c>
      <c r="E19" s="85">
        <f>SUM(E20:E22)</f>
        <v>0</v>
      </c>
      <c r="F19" s="85">
        <f>SUM(F20:F22)</f>
        <v>0</v>
      </c>
    </row>
    <row r="20" spans="1:6" ht="15">
      <c r="A20" s="75" t="s">
        <v>31</v>
      </c>
      <c r="B20" s="126">
        <v>10897078.27</v>
      </c>
      <c r="C20" s="126">
        <v>375666.08</v>
      </c>
      <c r="D20" s="74" t="s">
        <v>32</v>
      </c>
      <c r="E20" s="83">
        <v>0</v>
      </c>
      <c r="F20" s="126">
        <v>0</v>
      </c>
    </row>
    <row r="21" spans="1:6" ht="15">
      <c r="A21" s="75" t="s">
        <v>33</v>
      </c>
      <c r="B21" s="126">
        <v>1279583</v>
      </c>
      <c r="C21" s="126">
        <v>1444637</v>
      </c>
      <c r="D21" s="74" t="s">
        <v>34</v>
      </c>
      <c r="E21" s="83">
        <v>0</v>
      </c>
      <c r="F21" s="126">
        <v>0</v>
      </c>
    </row>
    <row r="22" spans="1:6" ht="15">
      <c r="A22" s="75" t="s">
        <v>35</v>
      </c>
      <c r="B22" s="126">
        <v>29854766.96</v>
      </c>
      <c r="C22" s="126">
        <v>13895728</v>
      </c>
      <c r="D22" s="74" t="s">
        <v>36</v>
      </c>
      <c r="E22" s="83">
        <v>0</v>
      </c>
      <c r="F22" s="126">
        <v>0</v>
      </c>
    </row>
    <row r="23" spans="1:6" ht="15">
      <c r="A23" s="75" t="s">
        <v>37</v>
      </c>
      <c r="B23" s="126">
        <v>612739.4</v>
      </c>
      <c r="C23" s="126">
        <v>612739.4</v>
      </c>
      <c r="D23" s="112" t="s">
        <v>38</v>
      </c>
      <c r="E23" s="85">
        <f>E24+E25</f>
        <v>59325491.62</v>
      </c>
      <c r="F23" s="85">
        <f>F24+F25</f>
        <v>57233999.46</v>
      </c>
    </row>
    <row r="24" spans="1:6" ht="15">
      <c r="A24" s="75" t="s">
        <v>39</v>
      </c>
      <c r="B24" s="83">
        <v>0</v>
      </c>
      <c r="C24" s="126">
        <v>0</v>
      </c>
      <c r="D24" s="74" t="s">
        <v>40</v>
      </c>
      <c r="E24" s="126">
        <v>59325491.62</v>
      </c>
      <c r="F24" s="126">
        <v>57233999.46</v>
      </c>
    </row>
    <row r="25" spans="1:6" ht="15">
      <c r="A25" s="22" t="s">
        <v>41</v>
      </c>
      <c r="B25" s="85">
        <f>SUM(B26:B30)</f>
        <v>9579705.28</v>
      </c>
      <c r="C25" s="85">
        <f>SUM(C26:C30)</f>
        <v>45139279.75</v>
      </c>
      <c r="D25" s="74" t="s">
        <v>42</v>
      </c>
      <c r="E25" s="83">
        <v>0</v>
      </c>
      <c r="F25" s="126">
        <v>0</v>
      </c>
    </row>
    <row r="26" spans="1:6" ht="15">
      <c r="A26" s="75" t="s">
        <v>43</v>
      </c>
      <c r="B26" s="83">
        <v>0</v>
      </c>
      <c r="C26" s="126">
        <v>0</v>
      </c>
      <c r="D26" s="112" t="s">
        <v>44</v>
      </c>
      <c r="E26" s="85">
        <v>0</v>
      </c>
      <c r="F26" s="85">
        <v>0</v>
      </c>
    </row>
    <row r="27" spans="1:6" ht="15">
      <c r="A27" s="75" t="s">
        <v>45</v>
      </c>
      <c r="B27" s="126">
        <v>0</v>
      </c>
      <c r="C27" s="126">
        <v>4033063.32</v>
      </c>
      <c r="D27" s="112" t="s">
        <v>46</v>
      </c>
      <c r="E27" s="85">
        <f>SUM(E28:E30)</f>
        <v>0</v>
      </c>
      <c r="F27" s="85">
        <f>SUM(F28:F30)</f>
        <v>0</v>
      </c>
    </row>
    <row r="28" spans="1:6" ht="15">
      <c r="A28" s="75" t="s">
        <v>47</v>
      </c>
      <c r="B28" s="83">
        <v>0</v>
      </c>
      <c r="C28" s="126">
        <v>732152.52</v>
      </c>
      <c r="D28" s="74" t="s">
        <v>48</v>
      </c>
      <c r="E28" s="83">
        <v>0</v>
      </c>
      <c r="F28" s="126">
        <v>0</v>
      </c>
    </row>
    <row r="29" spans="1:6" ht="15">
      <c r="A29" s="75" t="s">
        <v>49</v>
      </c>
      <c r="B29" s="126">
        <v>9579705.28</v>
      </c>
      <c r="C29" s="126">
        <v>40374063.91</v>
      </c>
      <c r="D29" s="74" t="s">
        <v>50</v>
      </c>
      <c r="E29" s="83">
        <v>0</v>
      </c>
      <c r="F29" s="126">
        <v>0</v>
      </c>
    </row>
    <row r="30" spans="1:6" ht="15">
      <c r="A30" s="75" t="s">
        <v>51</v>
      </c>
      <c r="B30" s="83">
        <v>0</v>
      </c>
      <c r="C30" s="126">
        <v>0</v>
      </c>
      <c r="D30" s="74" t="s">
        <v>52</v>
      </c>
      <c r="E30" s="83">
        <v>0</v>
      </c>
      <c r="F30" s="126">
        <v>0</v>
      </c>
    </row>
    <row r="31" spans="1:6" ht="15">
      <c r="A31" s="22" t="s">
        <v>53</v>
      </c>
      <c r="B31" s="85">
        <f>SUM(B32:B36)</f>
        <v>0</v>
      </c>
      <c r="C31" s="85">
        <f>SUM(C32:C36)</f>
        <v>0</v>
      </c>
      <c r="D31" s="112" t="s">
        <v>54</v>
      </c>
      <c r="E31" s="85">
        <f>SUM(E32:E37)</f>
        <v>140710966.28</v>
      </c>
      <c r="F31" s="85">
        <f>SUM(F32:F37)</f>
        <v>112736731.47</v>
      </c>
    </row>
    <row r="32" spans="1:6" ht="15">
      <c r="A32" s="75" t="s">
        <v>55</v>
      </c>
      <c r="B32" s="83">
        <v>0</v>
      </c>
      <c r="C32" s="126">
        <v>0</v>
      </c>
      <c r="D32" s="74" t="s">
        <v>56</v>
      </c>
      <c r="E32" s="126">
        <v>71568127.98</v>
      </c>
      <c r="F32" s="126">
        <v>68909066.32</v>
      </c>
    </row>
    <row r="33" spans="1:6" ht="15">
      <c r="A33" s="75" t="s">
        <v>57</v>
      </c>
      <c r="B33" s="83">
        <v>0</v>
      </c>
      <c r="C33" s="126">
        <v>0</v>
      </c>
      <c r="D33" s="74" t="s">
        <v>58</v>
      </c>
      <c r="E33" s="126">
        <v>69142838.3</v>
      </c>
      <c r="F33" s="126">
        <v>43827665.15</v>
      </c>
    </row>
    <row r="34" spans="1:6" ht="15">
      <c r="A34" s="75" t="s">
        <v>59</v>
      </c>
      <c r="B34" s="83">
        <v>0</v>
      </c>
      <c r="C34" s="126">
        <v>0</v>
      </c>
      <c r="D34" s="74" t="s">
        <v>60</v>
      </c>
      <c r="E34" s="83">
        <v>0</v>
      </c>
      <c r="F34" s="126">
        <v>0</v>
      </c>
    </row>
    <row r="35" spans="1:6" ht="15">
      <c r="A35" s="75" t="s">
        <v>61</v>
      </c>
      <c r="B35" s="83">
        <v>0</v>
      </c>
      <c r="C35" s="126">
        <v>0</v>
      </c>
      <c r="D35" s="74" t="s">
        <v>62</v>
      </c>
      <c r="E35" s="83">
        <v>0</v>
      </c>
      <c r="F35" s="126">
        <v>0</v>
      </c>
    </row>
    <row r="36" spans="1:6" ht="15">
      <c r="A36" s="75" t="s">
        <v>63</v>
      </c>
      <c r="B36" s="83">
        <v>0</v>
      </c>
      <c r="C36" s="126">
        <v>0</v>
      </c>
      <c r="D36" s="74" t="s">
        <v>64</v>
      </c>
      <c r="E36" s="83">
        <v>0</v>
      </c>
      <c r="F36" s="126">
        <v>0</v>
      </c>
    </row>
    <row r="37" spans="1:6" ht="15">
      <c r="A37" s="22" t="s">
        <v>65</v>
      </c>
      <c r="B37" s="83">
        <v>0</v>
      </c>
      <c r="C37" s="126">
        <v>0</v>
      </c>
      <c r="D37" s="74" t="s">
        <v>66</v>
      </c>
      <c r="E37" s="83">
        <v>0</v>
      </c>
      <c r="F37" s="126">
        <v>0</v>
      </c>
    </row>
    <row r="38" spans="1:6" ht="15">
      <c r="A38" s="22" t="s">
        <v>67</v>
      </c>
      <c r="B38" s="85">
        <f>SUM(B39:B40)</f>
        <v>0</v>
      </c>
      <c r="C38" s="85">
        <f>SUM(C39:C40)</f>
        <v>0</v>
      </c>
      <c r="D38" s="112" t="s">
        <v>68</v>
      </c>
      <c r="E38" s="85">
        <f>SUM(E39:E41)</f>
        <v>0</v>
      </c>
      <c r="F38" s="85">
        <f>SUM(F39:F41)</f>
        <v>0</v>
      </c>
    </row>
    <row r="39" spans="1:6" ht="15">
      <c r="A39" s="75" t="s">
        <v>69</v>
      </c>
      <c r="B39" s="83">
        <v>0</v>
      </c>
      <c r="C39" s="126">
        <v>0</v>
      </c>
      <c r="D39" s="74" t="s">
        <v>70</v>
      </c>
      <c r="E39" s="83">
        <v>0</v>
      </c>
      <c r="F39" s="126">
        <v>0</v>
      </c>
    </row>
    <row r="40" spans="1:6" ht="15">
      <c r="A40" s="75" t="s">
        <v>71</v>
      </c>
      <c r="B40" s="83">
        <v>0</v>
      </c>
      <c r="C40" s="126">
        <v>0</v>
      </c>
      <c r="D40" s="74" t="s">
        <v>72</v>
      </c>
      <c r="E40" s="83">
        <v>0</v>
      </c>
      <c r="F40" s="126">
        <v>0</v>
      </c>
    </row>
    <row r="41" spans="1:6" ht="15">
      <c r="A41" s="22" t="s">
        <v>73</v>
      </c>
      <c r="B41" s="85">
        <f>SUM(B42:B45)</f>
        <v>368745</v>
      </c>
      <c r="C41" s="85">
        <f>SUM(C42:C45)</f>
        <v>368745</v>
      </c>
      <c r="D41" s="74" t="s">
        <v>74</v>
      </c>
      <c r="E41" s="83">
        <v>0</v>
      </c>
      <c r="F41" s="126">
        <v>0</v>
      </c>
    </row>
    <row r="42" spans="1:6" ht="15">
      <c r="A42" s="75" t="s">
        <v>75</v>
      </c>
      <c r="B42" s="83">
        <v>368745</v>
      </c>
      <c r="C42" s="126">
        <v>368745</v>
      </c>
      <c r="D42" s="112" t="s">
        <v>76</v>
      </c>
      <c r="E42" s="85">
        <f>SUM(E43:E45)</f>
        <v>0</v>
      </c>
      <c r="F42" s="85">
        <f>SUM(F43:F45)</f>
        <v>0</v>
      </c>
    </row>
    <row r="43" spans="1:6" ht="15">
      <c r="A43" s="75" t="s">
        <v>77</v>
      </c>
      <c r="B43" s="83">
        <v>0</v>
      </c>
      <c r="C43" s="126">
        <v>0</v>
      </c>
      <c r="D43" s="74" t="s">
        <v>78</v>
      </c>
      <c r="E43" s="83">
        <v>0</v>
      </c>
      <c r="F43" s="126">
        <v>0</v>
      </c>
    </row>
    <row r="44" spans="1:6" ht="15">
      <c r="A44" s="75" t="s">
        <v>79</v>
      </c>
      <c r="B44" s="83">
        <v>0</v>
      </c>
      <c r="C44" s="126">
        <v>0</v>
      </c>
      <c r="D44" s="74" t="s">
        <v>80</v>
      </c>
      <c r="E44" s="83">
        <v>0</v>
      </c>
      <c r="F44" s="126">
        <v>0</v>
      </c>
    </row>
    <row r="45" spans="1:6" ht="15">
      <c r="A45" s="75" t="s">
        <v>81</v>
      </c>
      <c r="B45" s="83">
        <v>0</v>
      </c>
      <c r="C45" s="126">
        <v>0</v>
      </c>
      <c r="D45" s="74" t="s">
        <v>82</v>
      </c>
      <c r="E45" s="83">
        <v>0</v>
      </c>
      <c r="F45" s="126">
        <v>0</v>
      </c>
    </row>
    <row r="46" spans="1:6" ht="15">
      <c r="A46" s="33"/>
      <c r="B46" s="84"/>
      <c r="C46" s="84"/>
      <c r="D46" s="33"/>
      <c r="E46" s="84"/>
      <c r="F46" s="84"/>
    </row>
    <row r="47" spans="1:6" ht="15">
      <c r="A47" s="22" t="s">
        <v>83</v>
      </c>
      <c r="B47" s="85">
        <f>B9+B17+B25+B31+B38+B41</f>
        <v>4252860845.26</v>
      </c>
      <c r="C47" s="85">
        <f>C9+C17+C25+C31+C38+C41</f>
        <v>2588084476.2599998</v>
      </c>
      <c r="D47" s="71" t="s">
        <v>84</v>
      </c>
      <c r="E47" s="85">
        <f>E9+E19+E23+E26+E27+E31+E38+E42</f>
        <v>298868348.69</v>
      </c>
      <c r="F47" s="85">
        <f>F9+F19+F23+F26+F27+F31+F38+F42</f>
        <v>275379499.26</v>
      </c>
    </row>
    <row r="48" spans="1:6" ht="15">
      <c r="A48" s="33"/>
      <c r="B48" s="84"/>
      <c r="C48" s="84"/>
      <c r="D48" s="33"/>
      <c r="E48" s="84"/>
      <c r="F48" s="84"/>
    </row>
    <row r="49" spans="1:6" ht="15">
      <c r="A49" s="60" t="s">
        <v>85</v>
      </c>
      <c r="B49" s="84"/>
      <c r="C49" s="84"/>
      <c r="D49" s="71" t="s">
        <v>86</v>
      </c>
      <c r="E49" s="84"/>
      <c r="F49" s="84"/>
    </row>
    <row r="50" spans="1:6" ht="15">
      <c r="A50" s="21" t="s">
        <v>87</v>
      </c>
      <c r="B50" s="126">
        <v>138577334.72</v>
      </c>
      <c r="C50" s="126">
        <v>119738980.86</v>
      </c>
      <c r="D50" s="72" t="s">
        <v>88</v>
      </c>
      <c r="E50" s="83">
        <v>0</v>
      </c>
      <c r="F50" s="126">
        <v>0</v>
      </c>
    </row>
    <row r="51" spans="1:6" ht="15">
      <c r="A51" s="21" t="s">
        <v>89</v>
      </c>
      <c r="B51" s="126">
        <v>206976815.08</v>
      </c>
      <c r="C51" s="126">
        <v>208661740.03</v>
      </c>
      <c r="D51" s="72" t="s">
        <v>90</v>
      </c>
      <c r="E51" s="83">
        <v>0</v>
      </c>
      <c r="F51" s="126">
        <v>0</v>
      </c>
    </row>
    <row r="52" spans="1:6" ht="15">
      <c r="A52" s="21" t="s">
        <v>91</v>
      </c>
      <c r="B52" s="126">
        <v>14454326270.41</v>
      </c>
      <c r="C52" s="126">
        <v>14256468606.19</v>
      </c>
      <c r="D52" s="72" t="s">
        <v>92</v>
      </c>
      <c r="E52" s="126">
        <v>2134264287.68</v>
      </c>
      <c r="F52" s="126">
        <v>2149903579.08</v>
      </c>
    </row>
    <row r="53" spans="1:6" ht="15">
      <c r="A53" s="21" t="s">
        <v>93</v>
      </c>
      <c r="B53" s="126">
        <v>1790694646.39</v>
      </c>
      <c r="C53" s="126">
        <v>1758581380.8</v>
      </c>
      <c r="D53" s="72" t="s">
        <v>94</v>
      </c>
      <c r="E53" s="126">
        <v>13500000</v>
      </c>
      <c r="F53" s="126">
        <v>13500000</v>
      </c>
    </row>
    <row r="54" spans="1:6" ht="15">
      <c r="A54" s="21" t="s">
        <v>95</v>
      </c>
      <c r="B54" s="126">
        <v>95695110.96</v>
      </c>
      <c r="C54" s="126">
        <v>91869027.36</v>
      </c>
      <c r="D54" s="72" t="s">
        <v>96</v>
      </c>
      <c r="E54" s="83">
        <v>0</v>
      </c>
      <c r="F54" s="126">
        <v>0</v>
      </c>
    </row>
    <row r="55" spans="1:6" ht="15">
      <c r="A55" s="21" t="s">
        <v>97</v>
      </c>
      <c r="B55" s="126">
        <v>-1323961850.52</v>
      </c>
      <c r="C55" s="126">
        <v>-1295575305.88</v>
      </c>
      <c r="D55" s="76" t="s">
        <v>98</v>
      </c>
      <c r="E55" s="83">
        <v>0</v>
      </c>
      <c r="F55" s="126">
        <v>0</v>
      </c>
    </row>
    <row r="56" spans="1:6" ht="15">
      <c r="A56" s="21" t="s">
        <v>99</v>
      </c>
      <c r="B56" s="83">
        <v>0</v>
      </c>
      <c r="C56" s="126">
        <v>0</v>
      </c>
      <c r="D56" s="33"/>
      <c r="E56" s="84"/>
      <c r="F56" s="84"/>
    </row>
    <row r="57" spans="1:6" ht="15">
      <c r="A57" s="21" t="s">
        <v>100</v>
      </c>
      <c r="B57" s="83">
        <v>0</v>
      </c>
      <c r="C57" s="126">
        <v>0</v>
      </c>
      <c r="D57" s="71" t="s">
        <v>101</v>
      </c>
      <c r="E57" s="85">
        <f>SUM(E50:E55)</f>
        <v>2147764287.6800003</v>
      </c>
      <c r="F57" s="85">
        <f>SUM(F50:F55)</f>
        <v>2163403579.08</v>
      </c>
    </row>
    <row r="58" spans="1:6" ht="15">
      <c r="A58" s="21" t="s">
        <v>102</v>
      </c>
      <c r="B58" s="83">
        <v>0</v>
      </c>
      <c r="C58" s="126">
        <v>0</v>
      </c>
      <c r="D58" s="33"/>
      <c r="E58" s="84"/>
      <c r="F58" s="84"/>
    </row>
    <row r="59" spans="1:6" ht="15">
      <c r="A59" s="33"/>
      <c r="B59" s="84"/>
      <c r="C59" s="84"/>
      <c r="D59" s="71" t="s">
        <v>103</v>
      </c>
      <c r="E59" s="85">
        <f>E47+E57</f>
        <v>2446632636.3700004</v>
      </c>
      <c r="F59" s="85">
        <f>F47+F57</f>
        <v>2438783078.34</v>
      </c>
    </row>
    <row r="60" spans="1:6" ht="15">
      <c r="A60" s="22" t="s">
        <v>104</v>
      </c>
      <c r="B60" s="85">
        <f>SUM(B50:B58)</f>
        <v>15362308327.039997</v>
      </c>
      <c r="C60" s="85">
        <f>SUM(C50:C58)</f>
        <v>15139744429.36</v>
      </c>
      <c r="D60" s="33"/>
      <c r="E60" s="84"/>
      <c r="F60" s="84"/>
    </row>
    <row r="61" spans="1:6" ht="15">
      <c r="A61" s="33"/>
      <c r="B61" s="84"/>
      <c r="C61" s="84"/>
      <c r="D61" s="77" t="s">
        <v>105</v>
      </c>
      <c r="E61" s="84"/>
      <c r="F61" s="84"/>
    </row>
    <row r="62" spans="1:6" ht="15">
      <c r="A62" s="22" t="s">
        <v>106</v>
      </c>
      <c r="B62" s="85">
        <f>SUM(B47+B60)</f>
        <v>19615169172.299995</v>
      </c>
      <c r="C62" s="85">
        <f>SUM(C47+C60)</f>
        <v>17727828905.62</v>
      </c>
      <c r="D62" s="33"/>
      <c r="E62" s="84"/>
      <c r="F62" s="84"/>
    </row>
    <row r="63" spans="1:6" ht="15">
      <c r="A63" s="33"/>
      <c r="B63" s="82"/>
      <c r="C63" s="82"/>
      <c r="D63" s="71" t="s">
        <v>107</v>
      </c>
      <c r="E63" s="85">
        <f>SUM(E64:E66)</f>
        <v>3411243630.34</v>
      </c>
      <c r="F63" s="85">
        <f>SUM(F64:F66)</f>
        <v>3399949414.4700003</v>
      </c>
    </row>
    <row r="64" spans="1:6" ht="15">
      <c r="A64" s="33"/>
      <c r="B64" s="82"/>
      <c r="C64" s="82"/>
      <c r="D64" s="78" t="s">
        <v>108</v>
      </c>
      <c r="E64" s="126">
        <v>2804971142.83</v>
      </c>
      <c r="F64" s="126">
        <v>2806813862.69</v>
      </c>
    </row>
    <row r="65" spans="1:6" ht="15">
      <c r="A65" s="33"/>
      <c r="B65" s="82"/>
      <c r="C65" s="82"/>
      <c r="D65" s="79" t="s">
        <v>109</v>
      </c>
      <c r="E65" s="126">
        <v>606272487.51</v>
      </c>
      <c r="F65" s="126">
        <v>593135551.78</v>
      </c>
    </row>
    <row r="66" spans="1:6" ht="15">
      <c r="A66" s="33"/>
      <c r="B66" s="82"/>
      <c r="C66" s="82"/>
      <c r="D66" s="78" t="s">
        <v>110</v>
      </c>
      <c r="E66" s="83">
        <v>0</v>
      </c>
      <c r="F66" s="126">
        <v>0</v>
      </c>
    </row>
    <row r="67" spans="1:6" ht="15">
      <c r="A67" s="33"/>
      <c r="B67" s="82"/>
      <c r="C67" s="82"/>
      <c r="D67" s="33"/>
      <c r="E67" s="84"/>
      <c r="F67" s="84"/>
    </row>
    <row r="68" spans="1:6" ht="15">
      <c r="A68" s="33"/>
      <c r="B68" s="82"/>
      <c r="C68" s="82"/>
      <c r="D68" s="71" t="s">
        <v>111</v>
      </c>
      <c r="E68" s="85">
        <f>SUM(E69:E73)</f>
        <v>13757292905.589998</v>
      </c>
      <c r="F68" s="85">
        <f>SUM(F69:F73)</f>
        <v>11889096412.81</v>
      </c>
    </row>
    <row r="69" spans="1:6" ht="15">
      <c r="A69" s="57"/>
      <c r="B69" s="82"/>
      <c r="C69" s="82"/>
      <c r="D69" s="78" t="s">
        <v>112</v>
      </c>
      <c r="E69" s="126">
        <v>1845831166.159999</v>
      </c>
      <c r="F69" s="126">
        <v>2126075131.95</v>
      </c>
    </row>
    <row r="70" spans="1:6" ht="15">
      <c r="A70" s="57"/>
      <c r="B70" s="82"/>
      <c r="C70" s="82"/>
      <c r="D70" s="78" t="s">
        <v>113</v>
      </c>
      <c r="E70" s="126">
        <v>10995433286.83</v>
      </c>
      <c r="F70" s="126">
        <v>8876695436.81</v>
      </c>
    </row>
    <row r="71" spans="1:6" ht="15">
      <c r="A71" s="57"/>
      <c r="B71" s="82"/>
      <c r="C71" s="82"/>
      <c r="D71" s="78" t="s">
        <v>114</v>
      </c>
      <c r="E71" s="126">
        <v>916028452.6</v>
      </c>
      <c r="F71" s="126">
        <v>886325844.05</v>
      </c>
    </row>
    <row r="72" spans="1:6" ht="15">
      <c r="A72" s="57"/>
      <c r="B72" s="82"/>
      <c r="C72" s="82"/>
      <c r="D72" s="78" t="s">
        <v>115</v>
      </c>
      <c r="E72" s="83">
        <v>0</v>
      </c>
      <c r="F72" s="126">
        <v>0</v>
      </c>
    </row>
    <row r="73" spans="1:6" ht="15">
      <c r="A73" s="57"/>
      <c r="B73" s="82"/>
      <c r="C73" s="82"/>
      <c r="D73" s="78" t="s">
        <v>116</v>
      </c>
      <c r="E73" s="83">
        <v>0</v>
      </c>
      <c r="F73" s="126">
        <v>0</v>
      </c>
    </row>
    <row r="74" spans="1:6" ht="15">
      <c r="A74" s="57"/>
      <c r="B74" s="82"/>
      <c r="C74" s="82"/>
      <c r="D74" s="33"/>
      <c r="E74" s="84"/>
      <c r="F74" s="84"/>
    </row>
    <row r="75" spans="1:6" ht="15">
      <c r="A75" s="57"/>
      <c r="B75" s="82"/>
      <c r="C75" s="82"/>
      <c r="D75" s="71" t="s">
        <v>117</v>
      </c>
      <c r="E75" s="85">
        <f>E76+E77</f>
        <v>0</v>
      </c>
      <c r="F75" s="85">
        <f>F76+F77</f>
        <v>0</v>
      </c>
    </row>
    <row r="76" spans="1:6" ht="15">
      <c r="A76" s="57"/>
      <c r="B76" s="82"/>
      <c r="C76" s="82"/>
      <c r="D76" s="72" t="s">
        <v>118</v>
      </c>
      <c r="E76" s="83">
        <v>0</v>
      </c>
      <c r="F76" s="126">
        <v>0</v>
      </c>
    </row>
    <row r="77" spans="1:6" ht="15">
      <c r="A77" s="57"/>
      <c r="B77" s="82"/>
      <c r="C77" s="82"/>
      <c r="D77" s="72" t="s">
        <v>119</v>
      </c>
      <c r="E77" s="83">
        <v>0</v>
      </c>
      <c r="F77" s="126">
        <v>0</v>
      </c>
    </row>
    <row r="78" spans="1:6" ht="15">
      <c r="A78" s="57"/>
      <c r="B78" s="82"/>
      <c r="C78" s="82"/>
      <c r="D78" s="33"/>
      <c r="E78" s="84"/>
      <c r="F78" s="84"/>
    </row>
    <row r="79" spans="1:6" ht="15">
      <c r="A79" s="57"/>
      <c r="B79" s="82"/>
      <c r="C79" s="82"/>
      <c r="D79" s="71" t="s">
        <v>120</v>
      </c>
      <c r="E79" s="85">
        <f>E63+E68+E75</f>
        <v>17168536535.929998</v>
      </c>
      <c r="F79" s="85">
        <f>F63+F68+F75</f>
        <v>15289045827.279999</v>
      </c>
    </row>
    <row r="80" spans="1:6" ht="15">
      <c r="A80" s="57"/>
      <c r="B80" s="82"/>
      <c r="C80" s="82"/>
      <c r="D80" s="33"/>
      <c r="E80" s="84"/>
      <c r="F80" s="84"/>
    </row>
    <row r="81" spans="1:6" ht="15">
      <c r="A81" s="57"/>
      <c r="B81" s="82"/>
      <c r="C81" s="82"/>
      <c r="D81" s="71" t="s">
        <v>121</v>
      </c>
      <c r="E81" s="85">
        <f>E59+E79</f>
        <v>19615169172.3</v>
      </c>
      <c r="F81" s="85">
        <f>F59+F79</f>
        <v>17727828905.62</v>
      </c>
    </row>
    <row r="82" spans="1:6" ht="15">
      <c r="A82" s="41"/>
      <c r="B82" s="86"/>
      <c r="C82" s="86"/>
      <c r="D82" s="34"/>
      <c r="E82" s="86"/>
      <c r="F82" s="86"/>
    </row>
    <row r="83" spans="5:6" ht="15">
      <c r="E83" s="127"/>
      <c r="F83" s="127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47:F47 E9:F45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:C25 B17:C17 B9:C9 E9 E31 E27 E23 E19 E38 E42 E47 E57 E59 E63 E68 E75 E79 E81 C38:C41 C60:C62 F9 F7:F8 F48:F51 C46:C47 F19:F23 F25:F31 F34:F47 F54:F63 F66:F68 F72:F81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B1">
      <selection activeCell="G15" sqref="G15"/>
    </sheetView>
  </sheetViews>
  <sheetFormatPr defaultColWidth="1.1484375" defaultRowHeight="15" zeroHeight="1"/>
  <cols>
    <col min="1" max="1" width="59.140625" style="0" customWidth="1"/>
    <col min="2" max="2" width="18.8515625" style="87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56" t="s">
        <v>122</v>
      </c>
      <c r="B1" s="156"/>
      <c r="C1" s="156"/>
      <c r="D1" s="156"/>
      <c r="E1" s="156"/>
      <c r="F1" s="156"/>
      <c r="G1" s="156"/>
      <c r="H1" s="156"/>
    </row>
    <row r="2" spans="1:8" ht="15">
      <c r="A2" s="142" t="s">
        <v>289</v>
      </c>
      <c r="B2" s="143"/>
      <c r="C2" s="143"/>
      <c r="D2" s="143"/>
      <c r="E2" s="143"/>
      <c r="F2" s="143"/>
      <c r="G2" s="143"/>
      <c r="H2" s="144"/>
    </row>
    <row r="3" spans="1:8" ht="15">
      <c r="A3" s="145" t="s">
        <v>123</v>
      </c>
      <c r="B3" s="146"/>
      <c r="C3" s="146"/>
      <c r="D3" s="146"/>
      <c r="E3" s="146"/>
      <c r="F3" s="146"/>
      <c r="G3" s="146"/>
      <c r="H3" s="147"/>
    </row>
    <row r="4" spans="1:8" ht="15">
      <c r="A4" s="148" t="s">
        <v>474</v>
      </c>
      <c r="B4" s="149"/>
      <c r="C4" s="149"/>
      <c r="D4" s="149"/>
      <c r="E4" s="149"/>
      <c r="F4" s="149"/>
      <c r="G4" s="149"/>
      <c r="H4" s="150"/>
    </row>
    <row r="5" spans="1:8" ht="15">
      <c r="A5" s="151" t="s">
        <v>2</v>
      </c>
      <c r="B5" s="152"/>
      <c r="C5" s="152"/>
      <c r="D5" s="152"/>
      <c r="E5" s="152"/>
      <c r="F5" s="152"/>
      <c r="G5" s="152"/>
      <c r="H5" s="153"/>
    </row>
    <row r="6" spans="1:8" ht="62.25" customHeight="1">
      <c r="A6" s="5" t="s">
        <v>124</v>
      </c>
      <c r="B6" s="89" t="s">
        <v>475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7"/>
      <c r="B7" s="90"/>
      <c r="C7" s="57"/>
      <c r="D7" s="57"/>
      <c r="E7" s="57"/>
      <c r="F7" s="57"/>
      <c r="G7" s="57"/>
      <c r="H7" s="57"/>
    </row>
    <row r="8" spans="1:8" ht="15">
      <c r="A8" s="63" t="s">
        <v>131</v>
      </c>
      <c r="B8" s="85">
        <f>B9+B13</f>
        <v>2207137578.54</v>
      </c>
      <c r="C8" s="85">
        <f aca="true" t="shared" si="0" ref="C8:H8">C9+C13</f>
        <v>0</v>
      </c>
      <c r="D8" s="85">
        <f t="shared" si="0"/>
        <v>13547799.239999998</v>
      </c>
      <c r="E8" s="85">
        <f t="shared" si="0"/>
        <v>0</v>
      </c>
      <c r="F8" s="85">
        <f t="shared" si="0"/>
        <v>2193589779.3</v>
      </c>
      <c r="G8" s="85">
        <f>G9+G13</f>
        <v>63655413.150000006</v>
      </c>
      <c r="H8" s="85">
        <f t="shared" si="0"/>
        <v>0</v>
      </c>
    </row>
    <row r="9" spans="1:8" ht="15">
      <c r="A9" s="64" t="s">
        <v>132</v>
      </c>
      <c r="B9" s="83">
        <f>SUM(B10:B12)</f>
        <v>0</v>
      </c>
      <c r="C9" s="83">
        <f aca="true" t="shared" si="1" ref="C9:H9">SUM(C10:C12)</f>
        <v>0</v>
      </c>
      <c r="D9" s="83">
        <f t="shared" si="1"/>
        <v>0</v>
      </c>
      <c r="E9" s="83">
        <f t="shared" si="1"/>
        <v>0</v>
      </c>
      <c r="F9" s="83">
        <f>SUM(F10:F12)</f>
        <v>0</v>
      </c>
      <c r="G9" s="83">
        <f t="shared" si="1"/>
        <v>0</v>
      </c>
      <c r="H9" s="83">
        <f t="shared" si="1"/>
        <v>0</v>
      </c>
    </row>
    <row r="10" spans="1:8" ht="15">
      <c r="A10" s="65" t="s">
        <v>133</v>
      </c>
      <c r="B10" s="83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5">
      <c r="A11" s="65" t="s">
        <v>134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15">
      <c r="A12" s="65" t="s">
        <v>135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256" ht="15">
      <c r="A13" s="64" t="s">
        <v>136</v>
      </c>
      <c r="B13" s="83">
        <f aca="true" t="shared" si="2" ref="B13:AG13">SUM(B14+B20+B21)</f>
        <v>2207137578.54</v>
      </c>
      <c r="C13" s="83">
        <f t="shared" si="2"/>
        <v>0</v>
      </c>
      <c r="D13" s="83">
        <f t="shared" si="2"/>
        <v>13547799.239999998</v>
      </c>
      <c r="E13" s="83">
        <f t="shared" si="2"/>
        <v>0</v>
      </c>
      <c r="F13" s="83">
        <f t="shared" si="2"/>
        <v>2193589779.3</v>
      </c>
      <c r="G13" s="83">
        <f t="shared" si="2"/>
        <v>63655413.150000006</v>
      </c>
      <c r="H13" s="83">
        <f t="shared" si="2"/>
        <v>0</v>
      </c>
      <c r="I13" s="83" t="e">
        <f t="shared" si="2"/>
        <v>#REF!</v>
      </c>
      <c r="J13" s="83" t="e">
        <f t="shared" si="2"/>
        <v>#REF!</v>
      </c>
      <c r="K13" s="83" t="e">
        <f t="shared" si="2"/>
        <v>#REF!</v>
      </c>
      <c r="L13" s="83" t="e">
        <f t="shared" si="2"/>
        <v>#REF!</v>
      </c>
      <c r="M13" s="83" t="e">
        <f t="shared" si="2"/>
        <v>#REF!</v>
      </c>
      <c r="N13" s="83" t="e">
        <f t="shared" si="2"/>
        <v>#REF!</v>
      </c>
      <c r="O13" s="83" t="e">
        <f t="shared" si="2"/>
        <v>#REF!</v>
      </c>
      <c r="P13" s="83" t="e">
        <f t="shared" si="2"/>
        <v>#REF!</v>
      </c>
      <c r="Q13" s="83" t="e">
        <f t="shared" si="2"/>
        <v>#REF!</v>
      </c>
      <c r="R13" s="83" t="e">
        <f t="shared" si="2"/>
        <v>#REF!</v>
      </c>
      <c r="S13" s="83" t="e">
        <f t="shared" si="2"/>
        <v>#REF!</v>
      </c>
      <c r="T13" s="83" t="e">
        <f t="shared" si="2"/>
        <v>#REF!</v>
      </c>
      <c r="U13" s="83" t="e">
        <f t="shared" si="2"/>
        <v>#REF!</v>
      </c>
      <c r="V13" s="83" t="e">
        <f t="shared" si="2"/>
        <v>#REF!</v>
      </c>
      <c r="W13" s="83" t="e">
        <f t="shared" si="2"/>
        <v>#REF!</v>
      </c>
      <c r="X13" s="83" t="e">
        <f t="shared" si="2"/>
        <v>#REF!</v>
      </c>
      <c r="Y13" s="83" t="e">
        <f t="shared" si="2"/>
        <v>#REF!</v>
      </c>
      <c r="Z13" s="83" t="e">
        <f t="shared" si="2"/>
        <v>#REF!</v>
      </c>
      <c r="AA13" s="83" t="e">
        <f t="shared" si="2"/>
        <v>#REF!</v>
      </c>
      <c r="AB13" s="83" t="e">
        <f t="shared" si="2"/>
        <v>#REF!</v>
      </c>
      <c r="AC13" s="83" t="e">
        <f t="shared" si="2"/>
        <v>#REF!</v>
      </c>
      <c r="AD13" s="83" t="e">
        <f t="shared" si="2"/>
        <v>#REF!</v>
      </c>
      <c r="AE13" s="83" t="e">
        <f t="shared" si="2"/>
        <v>#REF!</v>
      </c>
      <c r="AF13" s="83" t="e">
        <f t="shared" si="2"/>
        <v>#REF!</v>
      </c>
      <c r="AG13" s="83" t="e">
        <f t="shared" si="2"/>
        <v>#REF!</v>
      </c>
      <c r="AH13" s="83" t="e">
        <f aca="true" t="shared" si="3" ref="AH13:BM13">SUM(AH14+AH20+AH21)</f>
        <v>#REF!</v>
      </c>
      <c r="AI13" s="83" t="e">
        <f t="shared" si="3"/>
        <v>#REF!</v>
      </c>
      <c r="AJ13" s="83" t="e">
        <f t="shared" si="3"/>
        <v>#REF!</v>
      </c>
      <c r="AK13" s="83" t="e">
        <f t="shared" si="3"/>
        <v>#REF!</v>
      </c>
      <c r="AL13" s="83" t="e">
        <f t="shared" si="3"/>
        <v>#REF!</v>
      </c>
      <c r="AM13" s="83" t="e">
        <f t="shared" si="3"/>
        <v>#REF!</v>
      </c>
      <c r="AN13" s="83" t="e">
        <f t="shared" si="3"/>
        <v>#REF!</v>
      </c>
      <c r="AO13" s="83" t="e">
        <f t="shared" si="3"/>
        <v>#REF!</v>
      </c>
      <c r="AP13" s="83" t="e">
        <f t="shared" si="3"/>
        <v>#REF!</v>
      </c>
      <c r="AQ13" s="83" t="e">
        <f t="shared" si="3"/>
        <v>#REF!</v>
      </c>
      <c r="AR13" s="83" t="e">
        <f t="shared" si="3"/>
        <v>#REF!</v>
      </c>
      <c r="AS13" s="83" t="e">
        <f t="shared" si="3"/>
        <v>#REF!</v>
      </c>
      <c r="AT13" s="83" t="e">
        <f t="shared" si="3"/>
        <v>#REF!</v>
      </c>
      <c r="AU13" s="83" t="e">
        <f t="shared" si="3"/>
        <v>#REF!</v>
      </c>
      <c r="AV13" s="83" t="e">
        <f t="shared" si="3"/>
        <v>#REF!</v>
      </c>
      <c r="AW13" s="83" t="e">
        <f t="shared" si="3"/>
        <v>#REF!</v>
      </c>
      <c r="AX13" s="83" t="e">
        <f t="shared" si="3"/>
        <v>#REF!</v>
      </c>
      <c r="AY13" s="83" t="e">
        <f t="shared" si="3"/>
        <v>#REF!</v>
      </c>
      <c r="AZ13" s="83" t="e">
        <f t="shared" si="3"/>
        <v>#REF!</v>
      </c>
      <c r="BA13" s="83" t="e">
        <f t="shared" si="3"/>
        <v>#REF!</v>
      </c>
      <c r="BB13" s="83" t="e">
        <f t="shared" si="3"/>
        <v>#REF!</v>
      </c>
      <c r="BC13" s="83" t="e">
        <f t="shared" si="3"/>
        <v>#REF!</v>
      </c>
      <c r="BD13" s="83" t="e">
        <f t="shared" si="3"/>
        <v>#REF!</v>
      </c>
      <c r="BE13" s="83" t="e">
        <f t="shared" si="3"/>
        <v>#REF!</v>
      </c>
      <c r="BF13" s="83" t="e">
        <f t="shared" si="3"/>
        <v>#REF!</v>
      </c>
      <c r="BG13" s="83" t="e">
        <f t="shared" si="3"/>
        <v>#REF!</v>
      </c>
      <c r="BH13" s="83" t="e">
        <f t="shared" si="3"/>
        <v>#REF!</v>
      </c>
      <c r="BI13" s="83" t="e">
        <f t="shared" si="3"/>
        <v>#REF!</v>
      </c>
      <c r="BJ13" s="83" t="e">
        <f t="shared" si="3"/>
        <v>#REF!</v>
      </c>
      <c r="BK13" s="83" t="e">
        <f t="shared" si="3"/>
        <v>#REF!</v>
      </c>
      <c r="BL13" s="83" t="e">
        <f t="shared" si="3"/>
        <v>#REF!</v>
      </c>
      <c r="BM13" s="83" t="e">
        <f t="shared" si="3"/>
        <v>#REF!</v>
      </c>
      <c r="BN13" s="83" t="e">
        <f aca="true" t="shared" si="4" ref="BN13:DY13">SUM(BN14+BN20+BN21)</f>
        <v>#REF!</v>
      </c>
      <c r="BO13" s="83" t="e">
        <f t="shared" si="4"/>
        <v>#REF!</v>
      </c>
      <c r="BP13" s="83" t="e">
        <f t="shared" si="4"/>
        <v>#REF!</v>
      </c>
      <c r="BQ13" s="83" t="e">
        <f t="shared" si="4"/>
        <v>#REF!</v>
      </c>
      <c r="BR13" s="83" t="e">
        <f t="shared" si="4"/>
        <v>#REF!</v>
      </c>
      <c r="BS13" s="83" t="e">
        <f t="shared" si="4"/>
        <v>#REF!</v>
      </c>
      <c r="BT13" s="83" t="e">
        <f t="shared" si="4"/>
        <v>#REF!</v>
      </c>
      <c r="BU13" s="83" t="e">
        <f t="shared" si="4"/>
        <v>#REF!</v>
      </c>
      <c r="BV13" s="83" t="e">
        <f t="shared" si="4"/>
        <v>#REF!</v>
      </c>
      <c r="BW13" s="83" t="e">
        <f t="shared" si="4"/>
        <v>#REF!</v>
      </c>
      <c r="BX13" s="83" t="e">
        <f t="shared" si="4"/>
        <v>#REF!</v>
      </c>
      <c r="BY13" s="83" t="e">
        <f t="shared" si="4"/>
        <v>#REF!</v>
      </c>
      <c r="BZ13" s="83" t="e">
        <f t="shared" si="4"/>
        <v>#REF!</v>
      </c>
      <c r="CA13" s="83" t="e">
        <f t="shared" si="4"/>
        <v>#REF!</v>
      </c>
      <c r="CB13" s="83" t="e">
        <f t="shared" si="4"/>
        <v>#REF!</v>
      </c>
      <c r="CC13" s="83" t="e">
        <f t="shared" si="4"/>
        <v>#REF!</v>
      </c>
      <c r="CD13" s="83" t="e">
        <f t="shared" si="4"/>
        <v>#REF!</v>
      </c>
      <c r="CE13" s="83" t="e">
        <f t="shared" si="4"/>
        <v>#REF!</v>
      </c>
      <c r="CF13" s="83" t="e">
        <f t="shared" si="4"/>
        <v>#REF!</v>
      </c>
      <c r="CG13" s="83" t="e">
        <f t="shared" si="4"/>
        <v>#REF!</v>
      </c>
      <c r="CH13" s="83" t="e">
        <f t="shared" si="4"/>
        <v>#REF!</v>
      </c>
      <c r="CI13" s="83" t="e">
        <f t="shared" si="4"/>
        <v>#REF!</v>
      </c>
      <c r="CJ13" s="83" t="e">
        <f t="shared" si="4"/>
        <v>#REF!</v>
      </c>
      <c r="CK13" s="83" t="e">
        <f t="shared" si="4"/>
        <v>#REF!</v>
      </c>
      <c r="CL13" s="83" t="e">
        <f t="shared" si="4"/>
        <v>#REF!</v>
      </c>
      <c r="CM13" s="83" t="e">
        <f t="shared" si="4"/>
        <v>#REF!</v>
      </c>
      <c r="CN13" s="83" t="e">
        <f t="shared" si="4"/>
        <v>#REF!</v>
      </c>
      <c r="CO13" s="83" t="e">
        <f t="shared" si="4"/>
        <v>#REF!</v>
      </c>
      <c r="CP13" s="83" t="e">
        <f t="shared" si="4"/>
        <v>#REF!</v>
      </c>
      <c r="CQ13" s="83" t="e">
        <f t="shared" si="4"/>
        <v>#REF!</v>
      </c>
      <c r="CR13" s="83" t="e">
        <f t="shared" si="4"/>
        <v>#REF!</v>
      </c>
      <c r="CS13" s="83" t="e">
        <f t="shared" si="4"/>
        <v>#REF!</v>
      </c>
      <c r="CT13" s="83" t="e">
        <f t="shared" si="4"/>
        <v>#REF!</v>
      </c>
      <c r="CU13" s="83" t="e">
        <f t="shared" si="4"/>
        <v>#REF!</v>
      </c>
      <c r="CV13" s="83" t="e">
        <f t="shared" si="4"/>
        <v>#REF!</v>
      </c>
      <c r="CW13" s="83" t="e">
        <f t="shared" si="4"/>
        <v>#REF!</v>
      </c>
      <c r="CX13" s="83" t="e">
        <f t="shared" si="4"/>
        <v>#REF!</v>
      </c>
      <c r="CY13" s="83" t="e">
        <f t="shared" si="4"/>
        <v>#REF!</v>
      </c>
      <c r="CZ13" s="83" t="e">
        <f t="shared" si="4"/>
        <v>#REF!</v>
      </c>
      <c r="DA13" s="83" t="e">
        <f t="shared" si="4"/>
        <v>#REF!</v>
      </c>
      <c r="DB13" s="83" t="e">
        <f t="shared" si="4"/>
        <v>#REF!</v>
      </c>
      <c r="DC13" s="83" t="e">
        <f t="shared" si="4"/>
        <v>#REF!</v>
      </c>
      <c r="DD13" s="83" t="e">
        <f t="shared" si="4"/>
        <v>#REF!</v>
      </c>
      <c r="DE13" s="83" t="e">
        <f t="shared" si="4"/>
        <v>#REF!</v>
      </c>
      <c r="DF13" s="83" t="e">
        <f t="shared" si="4"/>
        <v>#REF!</v>
      </c>
      <c r="DG13" s="83" t="e">
        <f t="shared" si="4"/>
        <v>#REF!</v>
      </c>
      <c r="DH13" s="83" t="e">
        <f t="shared" si="4"/>
        <v>#REF!</v>
      </c>
      <c r="DI13" s="83" t="e">
        <f t="shared" si="4"/>
        <v>#REF!</v>
      </c>
      <c r="DJ13" s="83" t="e">
        <f t="shared" si="4"/>
        <v>#REF!</v>
      </c>
      <c r="DK13" s="83" t="e">
        <f t="shared" si="4"/>
        <v>#REF!</v>
      </c>
      <c r="DL13" s="83" t="e">
        <f t="shared" si="4"/>
        <v>#REF!</v>
      </c>
      <c r="DM13" s="83" t="e">
        <f t="shared" si="4"/>
        <v>#REF!</v>
      </c>
      <c r="DN13" s="83" t="e">
        <f t="shared" si="4"/>
        <v>#REF!</v>
      </c>
      <c r="DO13" s="83" t="e">
        <f t="shared" si="4"/>
        <v>#REF!</v>
      </c>
      <c r="DP13" s="83" t="e">
        <f t="shared" si="4"/>
        <v>#REF!</v>
      </c>
      <c r="DQ13" s="83" t="e">
        <f t="shared" si="4"/>
        <v>#REF!</v>
      </c>
      <c r="DR13" s="83" t="e">
        <f t="shared" si="4"/>
        <v>#REF!</v>
      </c>
      <c r="DS13" s="83" t="e">
        <f t="shared" si="4"/>
        <v>#REF!</v>
      </c>
      <c r="DT13" s="83" t="e">
        <f t="shared" si="4"/>
        <v>#REF!</v>
      </c>
      <c r="DU13" s="83" t="e">
        <f t="shared" si="4"/>
        <v>#REF!</v>
      </c>
      <c r="DV13" s="83" t="e">
        <f t="shared" si="4"/>
        <v>#REF!</v>
      </c>
      <c r="DW13" s="83" t="e">
        <f t="shared" si="4"/>
        <v>#REF!</v>
      </c>
      <c r="DX13" s="83" t="e">
        <f t="shared" si="4"/>
        <v>#REF!</v>
      </c>
      <c r="DY13" s="83" t="e">
        <f t="shared" si="4"/>
        <v>#REF!</v>
      </c>
      <c r="DZ13" s="83" t="e">
        <f aca="true" t="shared" si="5" ref="DZ13:GK13">SUM(DZ14+DZ20+DZ21)</f>
        <v>#REF!</v>
      </c>
      <c r="EA13" s="83" t="e">
        <f t="shared" si="5"/>
        <v>#REF!</v>
      </c>
      <c r="EB13" s="83" t="e">
        <f t="shared" si="5"/>
        <v>#REF!</v>
      </c>
      <c r="EC13" s="83" t="e">
        <f t="shared" si="5"/>
        <v>#REF!</v>
      </c>
      <c r="ED13" s="83" t="e">
        <f t="shared" si="5"/>
        <v>#REF!</v>
      </c>
      <c r="EE13" s="83" t="e">
        <f t="shared" si="5"/>
        <v>#REF!</v>
      </c>
      <c r="EF13" s="83" t="e">
        <f t="shared" si="5"/>
        <v>#REF!</v>
      </c>
      <c r="EG13" s="83" t="e">
        <f t="shared" si="5"/>
        <v>#REF!</v>
      </c>
      <c r="EH13" s="83" t="e">
        <f t="shared" si="5"/>
        <v>#REF!</v>
      </c>
      <c r="EI13" s="83" t="e">
        <f t="shared" si="5"/>
        <v>#REF!</v>
      </c>
      <c r="EJ13" s="83" t="e">
        <f t="shared" si="5"/>
        <v>#REF!</v>
      </c>
      <c r="EK13" s="83" t="e">
        <f t="shared" si="5"/>
        <v>#REF!</v>
      </c>
      <c r="EL13" s="83" t="e">
        <f t="shared" si="5"/>
        <v>#REF!</v>
      </c>
      <c r="EM13" s="83" t="e">
        <f t="shared" si="5"/>
        <v>#REF!</v>
      </c>
      <c r="EN13" s="83" t="e">
        <f t="shared" si="5"/>
        <v>#REF!</v>
      </c>
      <c r="EO13" s="83" t="e">
        <f t="shared" si="5"/>
        <v>#REF!</v>
      </c>
      <c r="EP13" s="83" t="e">
        <f t="shared" si="5"/>
        <v>#REF!</v>
      </c>
      <c r="EQ13" s="83" t="e">
        <f t="shared" si="5"/>
        <v>#REF!</v>
      </c>
      <c r="ER13" s="83" t="e">
        <f t="shared" si="5"/>
        <v>#REF!</v>
      </c>
      <c r="ES13" s="83" t="e">
        <f t="shared" si="5"/>
        <v>#REF!</v>
      </c>
      <c r="ET13" s="83" t="e">
        <f t="shared" si="5"/>
        <v>#REF!</v>
      </c>
      <c r="EU13" s="83" t="e">
        <f t="shared" si="5"/>
        <v>#REF!</v>
      </c>
      <c r="EV13" s="83" t="e">
        <f t="shared" si="5"/>
        <v>#REF!</v>
      </c>
      <c r="EW13" s="83" t="e">
        <f t="shared" si="5"/>
        <v>#REF!</v>
      </c>
      <c r="EX13" s="83" t="e">
        <f t="shared" si="5"/>
        <v>#REF!</v>
      </c>
      <c r="EY13" s="83" t="e">
        <f t="shared" si="5"/>
        <v>#REF!</v>
      </c>
      <c r="EZ13" s="83" t="e">
        <f t="shared" si="5"/>
        <v>#REF!</v>
      </c>
      <c r="FA13" s="83" t="e">
        <f t="shared" si="5"/>
        <v>#REF!</v>
      </c>
      <c r="FB13" s="83" t="e">
        <f t="shared" si="5"/>
        <v>#REF!</v>
      </c>
      <c r="FC13" s="83" t="e">
        <f t="shared" si="5"/>
        <v>#REF!</v>
      </c>
      <c r="FD13" s="83" t="e">
        <f t="shared" si="5"/>
        <v>#REF!</v>
      </c>
      <c r="FE13" s="83" t="e">
        <f t="shared" si="5"/>
        <v>#REF!</v>
      </c>
      <c r="FF13" s="83" t="e">
        <f t="shared" si="5"/>
        <v>#REF!</v>
      </c>
      <c r="FG13" s="83" t="e">
        <f t="shared" si="5"/>
        <v>#REF!</v>
      </c>
      <c r="FH13" s="83" t="e">
        <f t="shared" si="5"/>
        <v>#REF!</v>
      </c>
      <c r="FI13" s="83" t="e">
        <f t="shared" si="5"/>
        <v>#REF!</v>
      </c>
      <c r="FJ13" s="83" t="e">
        <f t="shared" si="5"/>
        <v>#REF!</v>
      </c>
      <c r="FK13" s="83" t="e">
        <f t="shared" si="5"/>
        <v>#REF!</v>
      </c>
      <c r="FL13" s="83" t="e">
        <f t="shared" si="5"/>
        <v>#REF!</v>
      </c>
      <c r="FM13" s="83" t="e">
        <f t="shared" si="5"/>
        <v>#REF!</v>
      </c>
      <c r="FN13" s="83" t="e">
        <f t="shared" si="5"/>
        <v>#REF!</v>
      </c>
      <c r="FO13" s="83" t="e">
        <f t="shared" si="5"/>
        <v>#REF!</v>
      </c>
      <c r="FP13" s="83" t="e">
        <f t="shared" si="5"/>
        <v>#REF!</v>
      </c>
      <c r="FQ13" s="83" t="e">
        <f t="shared" si="5"/>
        <v>#REF!</v>
      </c>
      <c r="FR13" s="83" t="e">
        <f t="shared" si="5"/>
        <v>#REF!</v>
      </c>
      <c r="FS13" s="83" t="e">
        <f t="shared" si="5"/>
        <v>#REF!</v>
      </c>
      <c r="FT13" s="83" t="e">
        <f t="shared" si="5"/>
        <v>#REF!</v>
      </c>
      <c r="FU13" s="83" t="e">
        <f t="shared" si="5"/>
        <v>#REF!</v>
      </c>
      <c r="FV13" s="83" t="e">
        <f t="shared" si="5"/>
        <v>#REF!</v>
      </c>
      <c r="FW13" s="83" t="e">
        <f t="shared" si="5"/>
        <v>#REF!</v>
      </c>
      <c r="FX13" s="83" t="e">
        <f t="shared" si="5"/>
        <v>#REF!</v>
      </c>
      <c r="FY13" s="83" t="e">
        <f t="shared" si="5"/>
        <v>#REF!</v>
      </c>
      <c r="FZ13" s="83" t="e">
        <f t="shared" si="5"/>
        <v>#REF!</v>
      </c>
      <c r="GA13" s="83" t="e">
        <f t="shared" si="5"/>
        <v>#REF!</v>
      </c>
      <c r="GB13" s="83" t="e">
        <f t="shared" si="5"/>
        <v>#REF!</v>
      </c>
      <c r="GC13" s="83" t="e">
        <f t="shared" si="5"/>
        <v>#REF!</v>
      </c>
      <c r="GD13" s="83" t="e">
        <f t="shared" si="5"/>
        <v>#REF!</v>
      </c>
      <c r="GE13" s="83" t="e">
        <f t="shared" si="5"/>
        <v>#REF!</v>
      </c>
      <c r="GF13" s="83" t="e">
        <f t="shared" si="5"/>
        <v>#REF!</v>
      </c>
      <c r="GG13" s="83" t="e">
        <f t="shared" si="5"/>
        <v>#REF!</v>
      </c>
      <c r="GH13" s="83" t="e">
        <f t="shared" si="5"/>
        <v>#REF!</v>
      </c>
      <c r="GI13" s="83" t="e">
        <f t="shared" si="5"/>
        <v>#REF!</v>
      </c>
      <c r="GJ13" s="83" t="e">
        <f t="shared" si="5"/>
        <v>#REF!</v>
      </c>
      <c r="GK13" s="83" t="e">
        <f t="shared" si="5"/>
        <v>#REF!</v>
      </c>
      <c r="GL13" s="83" t="e">
        <f aca="true" t="shared" si="6" ref="GL13:IV13">SUM(GL14+GL20+GL21)</f>
        <v>#REF!</v>
      </c>
      <c r="GM13" s="83" t="e">
        <f t="shared" si="6"/>
        <v>#REF!</v>
      </c>
      <c r="GN13" s="83" t="e">
        <f t="shared" si="6"/>
        <v>#REF!</v>
      </c>
      <c r="GO13" s="83" t="e">
        <f t="shared" si="6"/>
        <v>#REF!</v>
      </c>
      <c r="GP13" s="83" t="e">
        <f t="shared" si="6"/>
        <v>#REF!</v>
      </c>
      <c r="GQ13" s="83" t="e">
        <f t="shared" si="6"/>
        <v>#REF!</v>
      </c>
      <c r="GR13" s="83" t="e">
        <f t="shared" si="6"/>
        <v>#REF!</v>
      </c>
      <c r="GS13" s="83" t="e">
        <f t="shared" si="6"/>
        <v>#REF!</v>
      </c>
      <c r="GT13" s="83" t="e">
        <f t="shared" si="6"/>
        <v>#REF!</v>
      </c>
      <c r="GU13" s="83" t="e">
        <f t="shared" si="6"/>
        <v>#REF!</v>
      </c>
      <c r="GV13" s="83" t="e">
        <f t="shared" si="6"/>
        <v>#REF!</v>
      </c>
      <c r="GW13" s="83" t="e">
        <f t="shared" si="6"/>
        <v>#REF!</v>
      </c>
      <c r="GX13" s="83" t="e">
        <f t="shared" si="6"/>
        <v>#REF!</v>
      </c>
      <c r="GY13" s="83" t="e">
        <f t="shared" si="6"/>
        <v>#REF!</v>
      </c>
      <c r="GZ13" s="83" t="e">
        <f t="shared" si="6"/>
        <v>#REF!</v>
      </c>
      <c r="HA13" s="83" t="e">
        <f t="shared" si="6"/>
        <v>#REF!</v>
      </c>
      <c r="HB13" s="83" t="e">
        <f t="shared" si="6"/>
        <v>#REF!</v>
      </c>
      <c r="HC13" s="83" t="e">
        <f t="shared" si="6"/>
        <v>#REF!</v>
      </c>
      <c r="HD13" s="83" t="e">
        <f t="shared" si="6"/>
        <v>#REF!</v>
      </c>
      <c r="HE13" s="83" t="e">
        <f t="shared" si="6"/>
        <v>#REF!</v>
      </c>
      <c r="HF13" s="83" t="e">
        <f t="shared" si="6"/>
        <v>#REF!</v>
      </c>
      <c r="HG13" s="83" t="e">
        <f t="shared" si="6"/>
        <v>#REF!</v>
      </c>
      <c r="HH13" s="83" t="e">
        <f t="shared" si="6"/>
        <v>#REF!</v>
      </c>
      <c r="HI13" s="83" t="e">
        <f t="shared" si="6"/>
        <v>#REF!</v>
      </c>
      <c r="HJ13" s="83" t="e">
        <f t="shared" si="6"/>
        <v>#REF!</v>
      </c>
      <c r="HK13" s="83" t="e">
        <f t="shared" si="6"/>
        <v>#REF!</v>
      </c>
      <c r="HL13" s="83" t="e">
        <f t="shared" si="6"/>
        <v>#REF!</v>
      </c>
      <c r="HM13" s="83" t="e">
        <f t="shared" si="6"/>
        <v>#REF!</v>
      </c>
      <c r="HN13" s="83" t="e">
        <f t="shared" si="6"/>
        <v>#REF!</v>
      </c>
      <c r="HO13" s="83" t="e">
        <f t="shared" si="6"/>
        <v>#REF!</v>
      </c>
      <c r="HP13" s="83" t="e">
        <f t="shared" si="6"/>
        <v>#REF!</v>
      </c>
      <c r="HQ13" s="83" t="e">
        <f t="shared" si="6"/>
        <v>#REF!</v>
      </c>
      <c r="HR13" s="83" t="e">
        <f t="shared" si="6"/>
        <v>#REF!</v>
      </c>
      <c r="HS13" s="83" t="e">
        <f t="shared" si="6"/>
        <v>#REF!</v>
      </c>
      <c r="HT13" s="83" t="e">
        <f t="shared" si="6"/>
        <v>#REF!</v>
      </c>
      <c r="HU13" s="83" t="e">
        <f t="shared" si="6"/>
        <v>#REF!</v>
      </c>
      <c r="HV13" s="83" t="e">
        <f t="shared" si="6"/>
        <v>#REF!</v>
      </c>
      <c r="HW13" s="83" t="e">
        <f t="shared" si="6"/>
        <v>#REF!</v>
      </c>
      <c r="HX13" s="83" t="e">
        <f t="shared" si="6"/>
        <v>#REF!</v>
      </c>
      <c r="HY13" s="83" t="e">
        <f t="shared" si="6"/>
        <v>#REF!</v>
      </c>
      <c r="HZ13" s="83" t="e">
        <f t="shared" si="6"/>
        <v>#REF!</v>
      </c>
      <c r="IA13" s="83" t="e">
        <f t="shared" si="6"/>
        <v>#REF!</v>
      </c>
      <c r="IB13" s="83" t="e">
        <f t="shared" si="6"/>
        <v>#REF!</v>
      </c>
      <c r="IC13" s="83" t="e">
        <f t="shared" si="6"/>
        <v>#REF!</v>
      </c>
      <c r="ID13" s="83" t="e">
        <f t="shared" si="6"/>
        <v>#REF!</v>
      </c>
      <c r="IE13" s="83" t="e">
        <f t="shared" si="6"/>
        <v>#REF!</v>
      </c>
      <c r="IF13" s="83" t="e">
        <f t="shared" si="6"/>
        <v>#REF!</v>
      </c>
      <c r="IG13" s="83" t="e">
        <f t="shared" si="6"/>
        <v>#REF!</v>
      </c>
      <c r="IH13" s="83" t="e">
        <f t="shared" si="6"/>
        <v>#REF!</v>
      </c>
      <c r="II13" s="83" t="e">
        <f t="shared" si="6"/>
        <v>#REF!</v>
      </c>
      <c r="IJ13" s="83" t="e">
        <f t="shared" si="6"/>
        <v>#REF!</v>
      </c>
      <c r="IK13" s="83" t="e">
        <f t="shared" si="6"/>
        <v>#REF!</v>
      </c>
      <c r="IL13" s="83" t="e">
        <f t="shared" si="6"/>
        <v>#REF!</v>
      </c>
      <c r="IM13" s="83" t="e">
        <f t="shared" si="6"/>
        <v>#REF!</v>
      </c>
      <c r="IN13" s="83" t="e">
        <f t="shared" si="6"/>
        <v>#REF!</v>
      </c>
      <c r="IO13" s="83" t="e">
        <f t="shared" si="6"/>
        <v>#REF!</v>
      </c>
      <c r="IP13" s="83" t="e">
        <f t="shared" si="6"/>
        <v>#REF!</v>
      </c>
      <c r="IQ13" s="83" t="e">
        <f t="shared" si="6"/>
        <v>#REF!</v>
      </c>
      <c r="IR13" s="83" t="e">
        <f t="shared" si="6"/>
        <v>#REF!</v>
      </c>
      <c r="IS13" s="83" t="e">
        <f t="shared" si="6"/>
        <v>#REF!</v>
      </c>
      <c r="IT13" s="83" t="e">
        <f t="shared" si="6"/>
        <v>#REF!</v>
      </c>
      <c r="IU13" s="119" t="e">
        <f t="shared" si="6"/>
        <v>#REF!</v>
      </c>
      <c r="IV13" s="119" t="e">
        <f t="shared" si="6"/>
        <v>#REF!</v>
      </c>
    </row>
    <row r="14" spans="1:256" ht="15">
      <c r="A14" s="65" t="s">
        <v>137</v>
      </c>
      <c r="B14" s="83">
        <f>SUM(B15:B19)</f>
        <v>2207137578.54</v>
      </c>
      <c r="C14" s="83">
        <v>0</v>
      </c>
      <c r="D14" s="83">
        <f>SUM(D15:D19)</f>
        <v>13547799.239999998</v>
      </c>
      <c r="E14" s="83">
        <v>0</v>
      </c>
      <c r="F14" s="83">
        <f>SUM(F15:F19)</f>
        <v>2193589779.3</v>
      </c>
      <c r="G14" s="83">
        <f>SUM(G15:G19)</f>
        <v>63655413.150000006</v>
      </c>
      <c r="H14" s="83">
        <v>0</v>
      </c>
      <c r="I14" s="83" t="e">
        <f>SUM(#REF!)</f>
        <v>#REF!</v>
      </c>
      <c r="J14" s="83" t="e">
        <f>SUM(#REF!)</f>
        <v>#REF!</v>
      </c>
      <c r="K14" s="83" t="e">
        <f>SUM(#REF!)</f>
        <v>#REF!</v>
      </c>
      <c r="L14" s="83" t="e">
        <f>SUM(#REF!)</f>
        <v>#REF!</v>
      </c>
      <c r="M14" s="83" t="e">
        <f>SUM(#REF!)</f>
        <v>#REF!</v>
      </c>
      <c r="N14" s="83" t="e">
        <f>SUM(#REF!)</f>
        <v>#REF!</v>
      </c>
      <c r="O14" s="83" t="e">
        <f>SUM(#REF!)</f>
        <v>#REF!</v>
      </c>
      <c r="P14" s="83" t="e">
        <f>SUM(#REF!)</f>
        <v>#REF!</v>
      </c>
      <c r="Q14" s="83" t="e">
        <f>SUM(#REF!)</f>
        <v>#REF!</v>
      </c>
      <c r="R14" s="83" t="e">
        <f>SUM(#REF!)</f>
        <v>#REF!</v>
      </c>
      <c r="S14" s="83" t="e">
        <f>SUM(#REF!)</f>
        <v>#REF!</v>
      </c>
      <c r="T14" s="83" t="e">
        <f>SUM(#REF!)</f>
        <v>#REF!</v>
      </c>
      <c r="U14" s="83" t="e">
        <f>SUM(#REF!)</f>
        <v>#REF!</v>
      </c>
      <c r="V14" s="83" t="e">
        <f>SUM(#REF!)</f>
        <v>#REF!</v>
      </c>
      <c r="W14" s="83" t="e">
        <f>SUM(#REF!)</f>
        <v>#REF!</v>
      </c>
      <c r="X14" s="83" t="e">
        <f>SUM(#REF!)</f>
        <v>#REF!</v>
      </c>
      <c r="Y14" s="83" t="e">
        <f>SUM(#REF!)</f>
        <v>#REF!</v>
      </c>
      <c r="Z14" s="83" t="e">
        <f>SUM(#REF!)</f>
        <v>#REF!</v>
      </c>
      <c r="AA14" s="83" t="e">
        <f>SUM(#REF!)</f>
        <v>#REF!</v>
      </c>
      <c r="AB14" s="83" t="e">
        <f>SUM(#REF!)</f>
        <v>#REF!</v>
      </c>
      <c r="AC14" s="83" t="e">
        <f>SUM(#REF!)</f>
        <v>#REF!</v>
      </c>
      <c r="AD14" s="83" t="e">
        <f>SUM(#REF!)</f>
        <v>#REF!</v>
      </c>
      <c r="AE14" s="83" t="e">
        <f>SUM(#REF!)</f>
        <v>#REF!</v>
      </c>
      <c r="AF14" s="83" t="e">
        <f>SUM(#REF!)</f>
        <v>#REF!</v>
      </c>
      <c r="AG14" s="83" t="e">
        <f>SUM(#REF!)</f>
        <v>#REF!</v>
      </c>
      <c r="AH14" s="83" t="e">
        <f>SUM(#REF!)</f>
        <v>#REF!</v>
      </c>
      <c r="AI14" s="83" t="e">
        <f>SUM(#REF!)</f>
        <v>#REF!</v>
      </c>
      <c r="AJ14" s="83" t="e">
        <f>SUM(#REF!)</f>
        <v>#REF!</v>
      </c>
      <c r="AK14" s="83" t="e">
        <f>SUM(#REF!)</f>
        <v>#REF!</v>
      </c>
      <c r="AL14" s="83" t="e">
        <f>SUM(#REF!)</f>
        <v>#REF!</v>
      </c>
      <c r="AM14" s="83" t="e">
        <f>SUM(#REF!)</f>
        <v>#REF!</v>
      </c>
      <c r="AN14" s="83" t="e">
        <f>SUM(#REF!)</f>
        <v>#REF!</v>
      </c>
      <c r="AO14" s="83" t="e">
        <f>SUM(#REF!)</f>
        <v>#REF!</v>
      </c>
      <c r="AP14" s="83" t="e">
        <f>SUM(#REF!)</f>
        <v>#REF!</v>
      </c>
      <c r="AQ14" s="83" t="e">
        <f>SUM(#REF!)</f>
        <v>#REF!</v>
      </c>
      <c r="AR14" s="83" t="e">
        <f>SUM(#REF!)</f>
        <v>#REF!</v>
      </c>
      <c r="AS14" s="83" t="e">
        <f>SUM(#REF!)</f>
        <v>#REF!</v>
      </c>
      <c r="AT14" s="83" t="e">
        <f>SUM(#REF!)</f>
        <v>#REF!</v>
      </c>
      <c r="AU14" s="83" t="e">
        <f>SUM(#REF!)</f>
        <v>#REF!</v>
      </c>
      <c r="AV14" s="83" t="e">
        <f>SUM(#REF!)</f>
        <v>#REF!</v>
      </c>
      <c r="AW14" s="83" t="e">
        <f>SUM(#REF!)</f>
        <v>#REF!</v>
      </c>
      <c r="AX14" s="83" t="e">
        <f>SUM(#REF!)</f>
        <v>#REF!</v>
      </c>
      <c r="AY14" s="83" t="e">
        <f>SUM(#REF!)</f>
        <v>#REF!</v>
      </c>
      <c r="AZ14" s="83" t="e">
        <f>SUM(#REF!)</f>
        <v>#REF!</v>
      </c>
      <c r="BA14" s="83" t="e">
        <f>SUM(#REF!)</f>
        <v>#REF!</v>
      </c>
      <c r="BB14" s="83" t="e">
        <f>SUM(#REF!)</f>
        <v>#REF!</v>
      </c>
      <c r="BC14" s="83" t="e">
        <f>SUM(#REF!)</f>
        <v>#REF!</v>
      </c>
      <c r="BD14" s="83" t="e">
        <f>SUM(#REF!)</f>
        <v>#REF!</v>
      </c>
      <c r="BE14" s="83" t="e">
        <f>SUM(#REF!)</f>
        <v>#REF!</v>
      </c>
      <c r="BF14" s="83" t="e">
        <f>SUM(#REF!)</f>
        <v>#REF!</v>
      </c>
      <c r="BG14" s="83" t="e">
        <f>SUM(#REF!)</f>
        <v>#REF!</v>
      </c>
      <c r="BH14" s="83" t="e">
        <f>SUM(#REF!)</f>
        <v>#REF!</v>
      </c>
      <c r="BI14" s="83" t="e">
        <f>SUM(#REF!)</f>
        <v>#REF!</v>
      </c>
      <c r="BJ14" s="83" t="e">
        <f>SUM(#REF!)</f>
        <v>#REF!</v>
      </c>
      <c r="BK14" s="83" t="e">
        <f>SUM(#REF!)</f>
        <v>#REF!</v>
      </c>
      <c r="BL14" s="83" t="e">
        <f>SUM(#REF!)</f>
        <v>#REF!</v>
      </c>
      <c r="BM14" s="83" t="e">
        <f>SUM(#REF!)</f>
        <v>#REF!</v>
      </c>
      <c r="BN14" s="83" t="e">
        <f>SUM(#REF!)</f>
        <v>#REF!</v>
      </c>
      <c r="BO14" s="83" t="e">
        <f>SUM(#REF!)</f>
        <v>#REF!</v>
      </c>
      <c r="BP14" s="83" t="e">
        <f>SUM(#REF!)</f>
        <v>#REF!</v>
      </c>
      <c r="BQ14" s="83" t="e">
        <f>SUM(#REF!)</f>
        <v>#REF!</v>
      </c>
      <c r="BR14" s="83" t="e">
        <f>SUM(#REF!)</f>
        <v>#REF!</v>
      </c>
      <c r="BS14" s="83" t="e">
        <f>SUM(#REF!)</f>
        <v>#REF!</v>
      </c>
      <c r="BT14" s="83" t="e">
        <f>SUM(#REF!)</f>
        <v>#REF!</v>
      </c>
      <c r="BU14" s="83" t="e">
        <f>SUM(#REF!)</f>
        <v>#REF!</v>
      </c>
      <c r="BV14" s="83" t="e">
        <f>SUM(#REF!)</f>
        <v>#REF!</v>
      </c>
      <c r="BW14" s="83" t="e">
        <f>SUM(#REF!)</f>
        <v>#REF!</v>
      </c>
      <c r="BX14" s="83" t="e">
        <f>SUM(#REF!)</f>
        <v>#REF!</v>
      </c>
      <c r="BY14" s="83" t="e">
        <f>SUM(#REF!)</f>
        <v>#REF!</v>
      </c>
      <c r="BZ14" s="83" t="e">
        <f>SUM(#REF!)</f>
        <v>#REF!</v>
      </c>
      <c r="CA14" s="83" t="e">
        <f>SUM(#REF!)</f>
        <v>#REF!</v>
      </c>
      <c r="CB14" s="83" t="e">
        <f>SUM(#REF!)</f>
        <v>#REF!</v>
      </c>
      <c r="CC14" s="83" t="e">
        <f>SUM(#REF!)</f>
        <v>#REF!</v>
      </c>
      <c r="CD14" s="83" t="e">
        <f>SUM(#REF!)</f>
        <v>#REF!</v>
      </c>
      <c r="CE14" s="83" t="e">
        <f>SUM(#REF!)</f>
        <v>#REF!</v>
      </c>
      <c r="CF14" s="83" t="e">
        <f>SUM(#REF!)</f>
        <v>#REF!</v>
      </c>
      <c r="CG14" s="83" t="e">
        <f>SUM(#REF!)</f>
        <v>#REF!</v>
      </c>
      <c r="CH14" s="83" t="e">
        <f>SUM(#REF!)</f>
        <v>#REF!</v>
      </c>
      <c r="CI14" s="83" t="e">
        <f>SUM(#REF!)</f>
        <v>#REF!</v>
      </c>
      <c r="CJ14" s="83" t="e">
        <f>SUM(#REF!)</f>
        <v>#REF!</v>
      </c>
      <c r="CK14" s="83" t="e">
        <f>SUM(#REF!)</f>
        <v>#REF!</v>
      </c>
      <c r="CL14" s="83" t="e">
        <f>SUM(#REF!)</f>
        <v>#REF!</v>
      </c>
      <c r="CM14" s="83" t="e">
        <f>SUM(#REF!)</f>
        <v>#REF!</v>
      </c>
      <c r="CN14" s="83" t="e">
        <f>SUM(#REF!)</f>
        <v>#REF!</v>
      </c>
      <c r="CO14" s="83" t="e">
        <f>SUM(#REF!)</f>
        <v>#REF!</v>
      </c>
      <c r="CP14" s="83" t="e">
        <f>SUM(#REF!)</f>
        <v>#REF!</v>
      </c>
      <c r="CQ14" s="83" t="e">
        <f>SUM(#REF!)</f>
        <v>#REF!</v>
      </c>
      <c r="CR14" s="83" t="e">
        <f>SUM(#REF!)</f>
        <v>#REF!</v>
      </c>
      <c r="CS14" s="83" t="e">
        <f>SUM(#REF!)</f>
        <v>#REF!</v>
      </c>
      <c r="CT14" s="83" t="e">
        <f>SUM(#REF!)</f>
        <v>#REF!</v>
      </c>
      <c r="CU14" s="83" t="e">
        <f>SUM(#REF!)</f>
        <v>#REF!</v>
      </c>
      <c r="CV14" s="83" t="e">
        <f>SUM(#REF!)</f>
        <v>#REF!</v>
      </c>
      <c r="CW14" s="83" t="e">
        <f>SUM(#REF!)</f>
        <v>#REF!</v>
      </c>
      <c r="CX14" s="83" t="e">
        <f>SUM(#REF!)</f>
        <v>#REF!</v>
      </c>
      <c r="CY14" s="83" t="e">
        <f>SUM(#REF!)</f>
        <v>#REF!</v>
      </c>
      <c r="CZ14" s="83" t="e">
        <f>SUM(#REF!)</f>
        <v>#REF!</v>
      </c>
      <c r="DA14" s="83" t="e">
        <f>SUM(#REF!)</f>
        <v>#REF!</v>
      </c>
      <c r="DB14" s="83" t="e">
        <f>SUM(#REF!)</f>
        <v>#REF!</v>
      </c>
      <c r="DC14" s="83" t="e">
        <f>SUM(#REF!)</f>
        <v>#REF!</v>
      </c>
      <c r="DD14" s="83" t="e">
        <f>SUM(#REF!)</f>
        <v>#REF!</v>
      </c>
      <c r="DE14" s="83" t="e">
        <f>SUM(#REF!)</f>
        <v>#REF!</v>
      </c>
      <c r="DF14" s="83" t="e">
        <f>SUM(#REF!)</f>
        <v>#REF!</v>
      </c>
      <c r="DG14" s="83" t="e">
        <f>SUM(#REF!)</f>
        <v>#REF!</v>
      </c>
      <c r="DH14" s="83" t="e">
        <f>SUM(#REF!)</f>
        <v>#REF!</v>
      </c>
      <c r="DI14" s="83" t="e">
        <f>SUM(#REF!)</f>
        <v>#REF!</v>
      </c>
      <c r="DJ14" s="83" t="e">
        <f>SUM(#REF!)</f>
        <v>#REF!</v>
      </c>
      <c r="DK14" s="83" t="e">
        <f>SUM(#REF!)</f>
        <v>#REF!</v>
      </c>
      <c r="DL14" s="83" t="e">
        <f>SUM(#REF!)</f>
        <v>#REF!</v>
      </c>
      <c r="DM14" s="83" t="e">
        <f>SUM(#REF!)</f>
        <v>#REF!</v>
      </c>
      <c r="DN14" s="83" t="e">
        <f>SUM(#REF!)</f>
        <v>#REF!</v>
      </c>
      <c r="DO14" s="83" t="e">
        <f>SUM(#REF!)</f>
        <v>#REF!</v>
      </c>
      <c r="DP14" s="83" t="e">
        <f>SUM(#REF!)</f>
        <v>#REF!</v>
      </c>
      <c r="DQ14" s="83" t="e">
        <f>SUM(#REF!)</f>
        <v>#REF!</v>
      </c>
      <c r="DR14" s="83" t="e">
        <f>SUM(#REF!)</f>
        <v>#REF!</v>
      </c>
      <c r="DS14" s="83" t="e">
        <f>SUM(#REF!)</f>
        <v>#REF!</v>
      </c>
      <c r="DT14" s="83" t="e">
        <f>SUM(#REF!)</f>
        <v>#REF!</v>
      </c>
      <c r="DU14" s="83" t="e">
        <f>SUM(#REF!)</f>
        <v>#REF!</v>
      </c>
      <c r="DV14" s="83" t="e">
        <f>SUM(#REF!)</f>
        <v>#REF!</v>
      </c>
      <c r="DW14" s="83" t="e">
        <f>SUM(#REF!)</f>
        <v>#REF!</v>
      </c>
      <c r="DX14" s="83" t="e">
        <f>SUM(#REF!)</f>
        <v>#REF!</v>
      </c>
      <c r="DY14" s="83" t="e">
        <f>SUM(#REF!)</f>
        <v>#REF!</v>
      </c>
      <c r="DZ14" s="83" t="e">
        <f>SUM(#REF!)</f>
        <v>#REF!</v>
      </c>
      <c r="EA14" s="83" t="e">
        <f>SUM(#REF!)</f>
        <v>#REF!</v>
      </c>
      <c r="EB14" s="83" t="e">
        <f>SUM(#REF!)</f>
        <v>#REF!</v>
      </c>
      <c r="EC14" s="83" t="e">
        <f>SUM(#REF!)</f>
        <v>#REF!</v>
      </c>
      <c r="ED14" s="83" t="e">
        <f>SUM(#REF!)</f>
        <v>#REF!</v>
      </c>
      <c r="EE14" s="83" t="e">
        <f>SUM(#REF!)</f>
        <v>#REF!</v>
      </c>
      <c r="EF14" s="83" t="e">
        <f>SUM(#REF!)</f>
        <v>#REF!</v>
      </c>
      <c r="EG14" s="83" t="e">
        <f>SUM(#REF!)</f>
        <v>#REF!</v>
      </c>
      <c r="EH14" s="83" t="e">
        <f>SUM(#REF!)</f>
        <v>#REF!</v>
      </c>
      <c r="EI14" s="83" t="e">
        <f>SUM(#REF!)</f>
        <v>#REF!</v>
      </c>
      <c r="EJ14" s="83" t="e">
        <f>SUM(#REF!)</f>
        <v>#REF!</v>
      </c>
      <c r="EK14" s="83" t="e">
        <f>SUM(#REF!)</f>
        <v>#REF!</v>
      </c>
      <c r="EL14" s="83" t="e">
        <f>SUM(#REF!)</f>
        <v>#REF!</v>
      </c>
      <c r="EM14" s="83" t="e">
        <f>SUM(#REF!)</f>
        <v>#REF!</v>
      </c>
      <c r="EN14" s="83" t="e">
        <f>SUM(#REF!)</f>
        <v>#REF!</v>
      </c>
      <c r="EO14" s="83" t="e">
        <f>SUM(#REF!)</f>
        <v>#REF!</v>
      </c>
      <c r="EP14" s="83" t="e">
        <f>SUM(#REF!)</f>
        <v>#REF!</v>
      </c>
      <c r="EQ14" s="83" t="e">
        <f>SUM(#REF!)</f>
        <v>#REF!</v>
      </c>
      <c r="ER14" s="83" t="e">
        <f>SUM(#REF!)</f>
        <v>#REF!</v>
      </c>
      <c r="ES14" s="83" t="e">
        <f>SUM(#REF!)</f>
        <v>#REF!</v>
      </c>
      <c r="ET14" s="83" t="e">
        <f>SUM(#REF!)</f>
        <v>#REF!</v>
      </c>
      <c r="EU14" s="83" t="e">
        <f>SUM(#REF!)</f>
        <v>#REF!</v>
      </c>
      <c r="EV14" s="83" t="e">
        <f>SUM(#REF!)</f>
        <v>#REF!</v>
      </c>
      <c r="EW14" s="83" t="e">
        <f>SUM(#REF!)</f>
        <v>#REF!</v>
      </c>
      <c r="EX14" s="83" t="e">
        <f>SUM(#REF!)</f>
        <v>#REF!</v>
      </c>
      <c r="EY14" s="83" t="e">
        <f>SUM(#REF!)</f>
        <v>#REF!</v>
      </c>
      <c r="EZ14" s="83" t="e">
        <f>SUM(#REF!)</f>
        <v>#REF!</v>
      </c>
      <c r="FA14" s="83" t="e">
        <f>SUM(#REF!)</f>
        <v>#REF!</v>
      </c>
      <c r="FB14" s="83" t="e">
        <f>SUM(#REF!)</f>
        <v>#REF!</v>
      </c>
      <c r="FC14" s="83" t="e">
        <f>SUM(#REF!)</f>
        <v>#REF!</v>
      </c>
      <c r="FD14" s="83" t="e">
        <f>SUM(#REF!)</f>
        <v>#REF!</v>
      </c>
      <c r="FE14" s="83" t="e">
        <f>SUM(#REF!)</f>
        <v>#REF!</v>
      </c>
      <c r="FF14" s="83" t="e">
        <f>SUM(#REF!)</f>
        <v>#REF!</v>
      </c>
      <c r="FG14" s="83" t="e">
        <f>SUM(#REF!)</f>
        <v>#REF!</v>
      </c>
      <c r="FH14" s="83" t="e">
        <f>SUM(#REF!)</f>
        <v>#REF!</v>
      </c>
      <c r="FI14" s="83" t="e">
        <f>SUM(#REF!)</f>
        <v>#REF!</v>
      </c>
      <c r="FJ14" s="83" t="e">
        <f>SUM(#REF!)</f>
        <v>#REF!</v>
      </c>
      <c r="FK14" s="83" t="e">
        <f>SUM(#REF!)</f>
        <v>#REF!</v>
      </c>
      <c r="FL14" s="83" t="e">
        <f>SUM(#REF!)</f>
        <v>#REF!</v>
      </c>
      <c r="FM14" s="83" t="e">
        <f>SUM(#REF!)</f>
        <v>#REF!</v>
      </c>
      <c r="FN14" s="83" t="e">
        <f>SUM(#REF!)</f>
        <v>#REF!</v>
      </c>
      <c r="FO14" s="83" t="e">
        <f>SUM(#REF!)</f>
        <v>#REF!</v>
      </c>
      <c r="FP14" s="83" t="e">
        <f>SUM(#REF!)</f>
        <v>#REF!</v>
      </c>
      <c r="FQ14" s="83" t="e">
        <f>SUM(#REF!)</f>
        <v>#REF!</v>
      </c>
      <c r="FR14" s="83" t="e">
        <f>SUM(#REF!)</f>
        <v>#REF!</v>
      </c>
      <c r="FS14" s="83" t="e">
        <f>SUM(#REF!)</f>
        <v>#REF!</v>
      </c>
      <c r="FT14" s="83" t="e">
        <f>SUM(#REF!)</f>
        <v>#REF!</v>
      </c>
      <c r="FU14" s="83" t="e">
        <f>SUM(#REF!)</f>
        <v>#REF!</v>
      </c>
      <c r="FV14" s="83" t="e">
        <f>SUM(#REF!)</f>
        <v>#REF!</v>
      </c>
      <c r="FW14" s="83" t="e">
        <f>SUM(#REF!)</f>
        <v>#REF!</v>
      </c>
      <c r="FX14" s="83" t="e">
        <f>SUM(#REF!)</f>
        <v>#REF!</v>
      </c>
      <c r="FY14" s="83" t="e">
        <f>SUM(#REF!)</f>
        <v>#REF!</v>
      </c>
      <c r="FZ14" s="83" t="e">
        <f>SUM(#REF!)</f>
        <v>#REF!</v>
      </c>
      <c r="GA14" s="83" t="e">
        <f>SUM(#REF!)</f>
        <v>#REF!</v>
      </c>
      <c r="GB14" s="83" t="e">
        <f>SUM(#REF!)</f>
        <v>#REF!</v>
      </c>
      <c r="GC14" s="83" t="e">
        <f>SUM(#REF!)</f>
        <v>#REF!</v>
      </c>
      <c r="GD14" s="83" t="e">
        <f>SUM(#REF!)</f>
        <v>#REF!</v>
      </c>
      <c r="GE14" s="83" t="e">
        <f>SUM(#REF!)</f>
        <v>#REF!</v>
      </c>
      <c r="GF14" s="83" t="e">
        <f>SUM(#REF!)</f>
        <v>#REF!</v>
      </c>
      <c r="GG14" s="83" t="e">
        <f>SUM(#REF!)</f>
        <v>#REF!</v>
      </c>
      <c r="GH14" s="83" t="e">
        <f>SUM(#REF!)</f>
        <v>#REF!</v>
      </c>
      <c r="GI14" s="83" t="e">
        <f>SUM(#REF!)</f>
        <v>#REF!</v>
      </c>
      <c r="GJ14" s="83" t="e">
        <f>SUM(#REF!)</f>
        <v>#REF!</v>
      </c>
      <c r="GK14" s="83" t="e">
        <f>SUM(#REF!)</f>
        <v>#REF!</v>
      </c>
      <c r="GL14" s="83" t="e">
        <f>SUM(#REF!)</f>
        <v>#REF!</v>
      </c>
      <c r="GM14" s="83" t="e">
        <f>SUM(#REF!)</f>
        <v>#REF!</v>
      </c>
      <c r="GN14" s="83" t="e">
        <f>SUM(#REF!)</f>
        <v>#REF!</v>
      </c>
      <c r="GO14" s="83" t="e">
        <f>SUM(#REF!)</f>
        <v>#REF!</v>
      </c>
      <c r="GP14" s="83" t="e">
        <f>SUM(#REF!)</f>
        <v>#REF!</v>
      </c>
      <c r="GQ14" s="83" t="e">
        <f>SUM(#REF!)</f>
        <v>#REF!</v>
      </c>
      <c r="GR14" s="83" t="e">
        <f>SUM(#REF!)</f>
        <v>#REF!</v>
      </c>
      <c r="GS14" s="83" t="e">
        <f>SUM(#REF!)</f>
        <v>#REF!</v>
      </c>
      <c r="GT14" s="83" t="e">
        <f>SUM(#REF!)</f>
        <v>#REF!</v>
      </c>
      <c r="GU14" s="83" t="e">
        <f>SUM(#REF!)</f>
        <v>#REF!</v>
      </c>
      <c r="GV14" s="83" t="e">
        <f>SUM(#REF!)</f>
        <v>#REF!</v>
      </c>
      <c r="GW14" s="83" t="e">
        <f>SUM(#REF!)</f>
        <v>#REF!</v>
      </c>
      <c r="GX14" s="83" t="e">
        <f>SUM(#REF!)</f>
        <v>#REF!</v>
      </c>
      <c r="GY14" s="83" t="e">
        <f>SUM(#REF!)</f>
        <v>#REF!</v>
      </c>
      <c r="GZ14" s="83" t="e">
        <f>SUM(#REF!)</f>
        <v>#REF!</v>
      </c>
      <c r="HA14" s="83" t="e">
        <f>SUM(#REF!)</f>
        <v>#REF!</v>
      </c>
      <c r="HB14" s="83" t="e">
        <f>SUM(#REF!)</f>
        <v>#REF!</v>
      </c>
      <c r="HC14" s="83" t="e">
        <f>SUM(#REF!)</f>
        <v>#REF!</v>
      </c>
      <c r="HD14" s="83" t="e">
        <f>SUM(#REF!)</f>
        <v>#REF!</v>
      </c>
      <c r="HE14" s="83" t="e">
        <f>SUM(#REF!)</f>
        <v>#REF!</v>
      </c>
      <c r="HF14" s="83" t="e">
        <f>SUM(#REF!)</f>
        <v>#REF!</v>
      </c>
      <c r="HG14" s="83" t="e">
        <f>SUM(#REF!)</f>
        <v>#REF!</v>
      </c>
      <c r="HH14" s="83" t="e">
        <f>SUM(#REF!)</f>
        <v>#REF!</v>
      </c>
      <c r="HI14" s="83" t="e">
        <f>SUM(#REF!)</f>
        <v>#REF!</v>
      </c>
      <c r="HJ14" s="83" t="e">
        <f>SUM(#REF!)</f>
        <v>#REF!</v>
      </c>
      <c r="HK14" s="83" t="e">
        <f>SUM(#REF!)</f>
        <v>#REF!</v>
      </c>
      <c r="HL14" s="83" t="e">
        <f>SUM(#REF!)</f>
        <v>#REF!</v>
      </c>
      <c r="HM14" s="83" t="e">
        <f>SUM(#REF!)</f>
        <v>#REF!</v>
      </c>
      <c r="HN14" s="83" t="e">
        <f>SUM(#REF!)</f>
        <v>#REF!</v>
      </c>
      <c r="HO14" s="83" t="e">
        <f>SUM(#REF!)</f>
        <v>#REF!</v>
      </c>
      <c r="HP14" s="83" t="e">
        <f>SUM(#REF!)</f>
        <v>#REF!</v>
      </c>
      <c r="HQ14" s="83" t="e">
        <f>SUM(#REF!)</f>
        <v>#REF!</v>
      </c>
      <c r="HR14" s="83" t="e">
        <f>SUM(#REF!)</f>
        <v>#REF!</v>
      </c>
      <c r="HS14" s="83" t="e">
        <f>SUM(#REF!)</f>
        <v>#REF!</v>
      </c>
      <c r="HT14" s="83" t="e">
        <f>SUM(#REF!)</f>
        <v>#REF!</v>
      </c>
      <c r="HU14" s="83" t="e">
        <f>SUM(#REF!)</f>
        <v>#REF!</v>
      </c>
      <c r="HV14" s="83" t="e">
        <f>SUM(#REF!)</f>
        <v>#REF!</v>
      </c>
      <c r="HW14" s="83" t="e">
        <f>SUM(#REF!)</f>
        <v>#REF!</v>
      </c>
      <c r="HX14" s="83" t="e">
        <f>SUM(#REF!)</f>
        <v>#REF!</v>
      </c>
      <c r="HY14" s="83" t="e">
        <f>SUM(#REF!)</f>
        <v>#REF!</v>
      </c>
      <c r="HZ14" s="83" t="e">
        <f>SUM(#REF!)</f>
        <v>#REF!</v>
      </c>
      <c r="IA14" s="83" t="e">
        <f>SUM(#REF!)</f>
        <v>#REF!</v>
      </c>
      <c r="IB14" s="83" t="e">
        <f>SUM(#REF!)</f>
        <v>#REF!</v>
      </c>
      <c r="IC14" s="83" t="e">
        <f>SUM(#REF!)</f>
        <v>#REF!</v>
      </c>
      <c r="ID14" s="83" t="e">
        <f>SUM(#REF!)</f>
        <v>#REF!</v>
      </c>
      <c r="IE14" s="83" t="e">
        <f>SUM(#REF!)</f>
        <v>#REF!</v>
      </c>
      <c r="IF14" s="83" t="e">
        <f>SUM(#REF!)</f>
        <v>#REF!</v>
      </c>
      <c r="IG14" s="83" t="e">
        <f>SUM(#REF!)</f>
        <v>#REF!</v>
      </c>
      <c r="IH14" s="83" t="e">
        <f>SUM(#REF!)</f>
        <v>#REF!</v>
      </c>
      <c r="II14" s="83" t="e">
        <f>SUM(#REF!)</f>
        <v>#REF!</v>
      </c>
      <c r="IJ14" s="83" t="e">
        <f>SUM(#REF!)</f>
        <v>#REF!</v>
      </c>
      <c r="IK14" s="83" t="e">
        <f>SUM(#REF!)</f>
        <v>#REF!</v>
      </c>
      <c r="IL14" s="83" t="e">
        <f>SUM(#REF!)</f>
        <v>#REF!</v>
      </c>
      <c r="IM14" s="83" t="e">
        <f>SUM(#REF!)</f>
        <v>#REF!</v>
      </c>
      <c r="IN14" s="83" t="e">
        <f>SUM(#REF!)</f>
        <v>#REF!</v>
      </c>
      <c r="IO14" s="83" t="e">
        <f>SUM(#REF!)</f>
        <v>#REF!</v>
      </c>
      <c r="IP14" s="83" t="e">
        <f>SUM(#REF!)</f>
        <v>#REF!</v>
      </c>
      <c r="IQ14" s="83" t="e">
        <f>SUM(#REF!)</f>
        <v>#REF!</v>
      </c>
      <c r="IR14" s="83" t="e">
        <f>SUM(#REF!)</f>
        <v>#REF!</v>
      </c>
      <c r="IS14" s="83" t="e">
        <f>SUM(#REF!)</f>
        <v>#REF!</v>
      </c>
      <c r="IT14" s="83" t="e">
        <f>SUM(#REF!)</f>
        <v>#REF!</v>
      </c>
      <c r="IU14" s="119" t="e">
        <f>SUM(#REF!)</f>
        <v>#REF!</v>
      </c>
      <c r="IV14" s="119" t="e">
        <f>SUM(#REF!)</f>
        <v>#REF!</v>
      </c>
    </row>
    <row r="15" spans="1:256" ht="15">
      <c r="A15" s="65" t="s">
        <v>481</v>
      </c>
      <c r="B15" s="126">
        <v>450287438.0699998</v>
      </c>
      <c r="C15" s="126">
        <v>0</v>
      </c>
      <c r="D15" s="126">
        <v>4383253.7</v>
      </c>
      <c r="E15" s="126">
        <v>0</v>
      </c>
      <c r="F15" s="126">
        <v>445904184.3699998</v>
      </c>
      <c r="G15" s="126">
        <v>12884170.890000002</v>
      </c>
      <c r="H15" s="126">
        <v>0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pans="1:256" ht="15">
      <c r="A16" s="65" t="s">
        <v>481</v>
      </c>
      <c r="B16" s="126">
        <v>148288096.75999993</v>
      </c>
      <c r="C16" s="126">
        <v>0</v>
      </c>
      <c r="D16" s="126">
        <v>1345749.78</v>
      </c>
      <c r="E16" s="126">
        <v>0</v>
      </c>
      <c r="F16" s="126">
        <v>146942346.97999993</v>
      </c>
      <c r="G16" s="126">
        <v>4251297.64</v>
      </c>
      <c r="H16" s="126">
        <v>0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pans="1:256" ht="15">
      <c r="A17" s="65" t="s">
        <v>481</v>
      </c>
      <c r="B17" s="126">
        <v>92784343.22000004</v>
      </c>
      <c r="C17" s="126">
        <v>0</v>
      </c>
      <c r="D17" s="126">
        <v>842040.01</v>
      </c>
      <c r="E17" s="126">
        <v>0</v>
      </c>
      <c r="F17" s="126">
        <v>91942303.21000004</v>
      </c>
      <c r="G17" s="126">
        <v>2660047.6399999997</v>
      </c>
      <c r="H17" s="126">
        <v>0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ht="15">
      <c r="A18" s="65" t="s">
        <v>482</v>
      </c>
      <c r="B18" s="126">
        <v>753565305.5100002</v>
      </c>
      <c r="C18" s="126">
        <v>0</v>
      </c>
      <c r="D18" s="126">
        <v>3569072.9499999997</v>
      </c>
      <c r="E18" s="126">
        <v>0</v>
      </c>
      <c r="F18" s="126">
        <v>749996232.5600002</v>
      </c>
      <c r="G18" s="126">
        <v>21766393.77</v>
      </c>
      <c r="H18" s="126">
        <v>0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pans="1:256" ht="15">
      <c r="A19" s="65" t="s">
        <v>483</v>
      </c>
      <c r="B19" s="126">
        <v>762212394.98</v>
      </c>
      <c r="C19" s="126">
        <v>0</v>
      </c>
      <c r="D19" s="126">
        <v>3407682.8</v>
      </c>
      <c r="E19" s="126">
        <v>0</v>
      </c>
      <c r="F19" s="126">
        <v>758804712.1800001</v>
      </c>
      <c r="G19" s="126">
        <v>22093503.210000005</v>
      </c>
      <c r="H19" s="126">
        <v>0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8" ht="15">
      <c r="A20" s="65" t="s">
        <v>138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</row>
    <row r="21" spans="1:8" ht="15">
      <c r="A21" s="65" t="s">
        <v>139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</row>
    <row r="22" spans="1:8" ht="15">
      <c r="A22" s="33"/>
      <c r="B22" s="91"/>
      <c r="C22" s="91"/>
      <c r="D22" s="91"/>
      <c r="E22" s="91"/>
      <c r="F22" s="91"/>
      <c r="G22" s="91"/>
      <c r="H22" s="91"/>
    </row>
    <row r="23" spans="1:8" s="135" customFormat="1" ht="15">
      <c r="A23" s="133" t="s">
        <v>140</v>
      </c>
      <c r="B23" s="92">
        <v>231645499.8</v>
      </c>
      <c r="C23" s="134"/>
      <c r="D23" s="134"/>
      <c r="E23" s="136"/>
      <c r="F23" s="138">
        <v>253042857.0700003</v>
      </c>
      <c r="G23" s="137"/>
      <c r="H23" s="134"/>
    </row>
    <row r="24" spans="1:8" ht="15">
      <c r="A24" s="33"/>
      <c r="B24" s="91"/>
      <c r="C24" s="91"/>
      <c r="D24" s="91"/>
      <c r="E24" s="91"/>
      <c r="F24" s="91"/>
      <c r="G24" s="91"/>
      <c r="H24" s="91"/>
    </row>
    <row r="25" spans="1:8" ht="15">
      <c r="A25" s="63" t="s">
        <v>141</v>
      </c>
      <c r="B25" s="85">
        <f aca="true" t="shared" si="7" ref="B25:H25">B8+B23</f>
        <v>2438783078.34</v>
      </c>
      <c r="C25" s="85">
        <f t="shared" si="7"/>
        <v>0</v>
      </c>
      <c r="D25" s="85">
        <f t="shared" si="7"/>
        <v>13547799.239999998</v>
      </c>
      <c r="E25" s="85">
        <f t="shared" si="7"/>
        <v>0</v>
      </c>
      <c r="F25" s="85">
        <f t="shared" si="7"/>
        <v>2446632636.3700004</v>
      </c>
      <c r="G25" s="85">
        <f t="shared" si="7"/>
        <v>63655413.150000006</v>
      </c>
      <c r="H25" s="85">
        <f t="shared" si="7"/>
        <v>0</v>
      </c>
    </row>
    <row r="26" spans="1:8" ht="15">
      <c r="A26" s="33"/>
      <c r="B26" s="84"/>
      <c r="C26" s="84"/>
      <c r="D26" s="84"/>
      <c r="E26" s="84"/>
      <c r="F26" s="84"/>
      <c r="G26" s="84"/>
      <c r="H26" s="84"/>
    </row>
    <row r="27" spans="1:8" ht="17.25">
      <c r="A27" s="63" t="s">
        <v>142</v>
      </c>
      <c r="B27" s="85">
        <f>SUM(B28:DEUDA_CONT_FIN_01)</f>
        <v>0</v>
      </c>
      <c r="C27" s="85">
        <f>SUM(C28:DEUDA_CONT_FIN_02)</f>
        <v>0</v>
      </c>
      <c r="D27" s="85">
        <f>SUM(D28:DEUDA_CONT_FIN_03)</f>
        <v>0</v>
      </c>
      <c r="E27" s="85">
        <f>SUM(E28:DEUDA_CONT_FIN_04)</f>
        <v>0</v>
      </c>
      <c r="F27" s="85">
        <f>SUM(F28:DEUDA_CONT_FIN_05)</f>
        <v>0</v>
      </c>
      <c r="G27" s="85">
        <f>SUM(G28:DEUDA_CONT_FIN_06)</f>
        <v>0</v>
      </c>
      <c r="H27" s="85">
        <f>SUM(H28:DEUDA_CONT_FIN_07)</f>
        <v>0</v>
      </c>
    </row>
    <row r="28" spans="1:8" ht="15">
      <c r="A28" s="66" t="s">
        <v>143</v>
      </c>
      <c r="B28" s="83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</row>
    <row r="29" spans="1:8" ht="15">
      <c r="A29" s="66" t="s">
        <v>144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</row>
    <row r="30" spans="1:8" ht="15">
      <c r="A30" s="66" t="s">
        <v>145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</row>
    <row r="31" spans="1:8" ht="15">
      <c r="A31" s="39" t="s">
        <v>146</v>
      </c>
      <c r="B31" s="84"/>
      <c r="C31" s="84"/>
      <c r="D31" s="84"/>
      <c r="E31" s="84"/>
      <c r="F31" s="84"/>
      <c r="G31" s="84"/>
      <c r="H31" s="84"/>
    </row>
    <row r="32" spans="1:8" ht="17.25">
      <c r="A32" s="63" t="s">
        <v>147</v>
      </c>
      <c r="B32" s="85">
        <f>SUM(B33:VALOR_INS_BCC_FIN_01)</f>
        <v>476222500</v>
      </c>
      <c r="C32" s="85">
        <f>SUM(C33:VALOR_INS_BCC_FIN_02)</f>
        <v>0</v>
      </c>
      <c r="D32" s="85">
        <f>SUM(D33:VALOR_INS_BCC_FIN_03)</f>
        <v>0</v>
      </c>
      <c r="E32" s="85">
        <f>SUM(E33:VALOR_INS_BCC_FIN_04)</f>
        <v>0</v>
      </c>
      <c r="F32" s="85">
        <f>SUM(F33:VALOR_INS_BCC_FIN_05)</f>
        <v>476222500</v>
      </c>
      <c r="G32" s="85">
        <f>SUM(G33:VALOR_INS_BCC_FIN_06)</f>
        <v>9627463.97</v>
      </c>
      <c r="H32" s="85">
        <f>SUM(H33:zfds)</f>
        <v>0</v>
      </c>
    </row>
    <row r="33" spans="1:8" ht="17.25">
      <c r="A33" s="66" t="s">
        <v>450</v>
      </c>
      <c r="B33" s="83">
        <v>83449015</v>
      </c>
      <c r="C33" s="83">
        <v>0</v>
      </c>
      <c r="D33" s="83">
        <v>0</v>
      </c>
      <c r="E33" s="83">
        <v>0</v>
      </c>
      <c r="F33" s="83">
        <v>83449015</v>
      </c>
      <c r="G33" s="83">
        <v>1767032.88</v>
      </c>
      <c r="H33" s="83">
        <v>0</v>
      </c>
    </row>
    <row r="34" spans="1:8" ht="17.25">
      <c r="A34" s="66" t="s">
        <v>451</v>
      </c>
      <c r="B34" s="83">
        <v>208708907</v>
      </c>
      <c r="C34" s="83">
        <v>0</v>
      </c>
      <c r="D34" s="83">
        <v>0</v>
      </c>
      <c r="E34" s="83">
        <v>0</v>
      </c>
      <c r="F34" s="83">
        <v>208708907</v>
      </c>
      <c r="G34" s="83">
        <v>4161204.2800000003</v>
      </c>
      <c r="H34" s="83">
        <v>0</v>
      </c>
    </row>
    <row r="35" spans="1:8" ht="17.25">
      <c r="A35" s="66" t="s">
        <v>452</v>
      </c>
      <c r="B35" s="83">
        <v>72675017</v>
      </c>
      <c r="C35" s="83">
        <v>0</v>
      </c>
      <c r="D35" s="83">
        <v>0</v>
      </c>
      <c r="E35" s="83">
        <v>0</v>
      </c>
      <c r="F35" s="83">
        <v>72675017</v>
      </c>
      <c r="G35" s="83">
        <v>1493497.44</v>
      </c>
      <c r="H35" s="83">
        <v>0</v>
      </c>
    </row>
    <row r="36" spans="1:8" ht="17.25">
      <c r="A36" s="66" t="s">
        <v>453</v>
      </c>
      <c r="B36" s="83">
        <v>6854706</v>
      </c>
      <c r="C36" s="83">
        <v>0</v>
      </c>
      <c r="D36" s="83">
        <v>0</v>
      </c>
      <c r="E36" s="83">
        <v>0</v>
      </c>
      <c r="F36" s="83">
        <v>6854706</v>
      </c>
      <c r="G36" s="83">
        <v>146837.75</v>
      </c>
      <c r="H36" s="83">
        <v>0</v>
      </c>
    </row>
    <row r="37" spans="1:8" ht="17.25">
      <c r="A37" s="66" t="s">
        <v>454</v>
      </c>
      <c r="B37" s="83">
        <v>104534855</v>
      </c>
      <c r="C37" s="83">
        <v>0</v>
      </c>
      <c r="D37" s="83">
        <v>0</v>
      </c>
      <c r="E37" s="83"/>
      <c r="F37" s="83">
        <v>104534855</v>
      </c>
      <c r="G37" s="83">
        <v>2058891.6200000003</v>
      </c>
      <c r="H37" s="83">
        <v>0</v>
      </c>
    </row>
    <row r="38" spans="1:8" ht="15">
      <c r="A38" s="67" t="s">
        <v>146</v>
      </c>
      <c r="B38" s="93"/>
      <c r="C38" s="41"/>
      <c r="D38" s="41"/>
      <c r="E38" s="41"/>
      <c r="F38" s="41"/>
      <c r="G38" s="41"/>
      <c r="H38" s="41"/>
    </row>
    <row r="39" spans="1:8" ht="15">
      <c r="A39" s="68"/>
      <c r="B39" s="94"/>
      <c r="C39" s="37"/>
      <c r="D39" s="37"/>
      <c r="E39" s="37"/>
      <c r="F39" s="37"/>
      <c r="G39" s="37"/>
      <c r="H39" s="37"/>
    </row>
    <row r="40" spans="1:8" ht="15">
      <c r="A40" s="154" t="s">
        <v>455</v>
      </c>
      <c r="B40" s="155"/>
      <c r="C40" s="155"/>
      <c r="D40" s="155"/>
      <c r="E40" s="155"/>
      <c r="F40" s="155"/>
      <c r="G40" s="155"/>
      <c r="H40" s="155"/>
    </row>
    <row r="41" spans="1:8" ht="15">
      <c r="A41" s="155"/>
      <c r="B41" s="155"/>
      <c r="C41" s="155"/>
      <c r="D41" s="155"/>
      <c r="E41" s="155"/>
      <c r="F41" s="155"/>
      <c r="G41" s="155"/>
      <c r="H41" s="155"/>
    </row>
    <row r="42" spans="1:8" ht="15">
      <c r="A42" s="155"/>
      <c r="B42" s="155"/>
      <c r="C42" s="155"/>
      <c r="D42" s="155"/>
      <c r="E42" s="155"/>
      <c r="F42" s="155"/>
      <c r="G42" s="155"/>
      <c r="H42" s="155"/>
    </row>
    <row r="43" spans="1:8" ht="15">
      <c r="A43" s="155"/>
      <c r="B43" s="155"/>
      <c r="C43" s="155"/>
      <c r="D43" s="155"/>
      <c r="E43" s="155"/>
      <c r="F43" s="155"/>
      <c r="G43" s="155"/>
      <c r="H43" s="155"/>
    </row>
    <row r="44" spans="1:8" ht="15">
      <c r="A44" s="155"/>
      <c r="B44" s="155"/>
      <c r="C44" s="155"/>
      <c r="D44" s="155"/>
      <c r="E44" s="155"/>
      <c r="F44" s="155"/>
      <c r="G44" s="155"/>
      <c r="H44" s="155"/>
    </row>
    <row r="45" spans="1:8" ht="15">
      <c r="A45" s="68"/>
      <c r="B45" s="94"/>
      <c r="C45" s="37"/>
      <c r="D45" s="37"/>
      <c r="E45" s="37"/>
      <c r="F45" s="37"/>
      <c r="G45" s="37"/>
      <c r="H45" s="37"/>
    </row>
    <row r="46" spans="1:8" ht="30">
      <c r="A46" s="5" t="s">
        <v>148</v>
      </c>
      <c r="B46" s="95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7"/>
      <c r="H46" s="37"/>
    </row>
    <row r="47" spans="1:8" ht="15">
      <c r="A47" s="33"/>
      <c r="B47" s="90"/>
      <c r="C47" s="57"/>
      <c r="D47" s="57"/>
      <c r="E47" s="57"/>
      <c r="F47" s="57"/>
      <c r="G47" s="37"/>
      <c r="H47" s="37"/>
    </row>
    <row r="48" spans="1:8" ht="15">
      <c r="A48" s="63" t="s">
        <v>154</v>
      </c>
      <c r="B48" s="85">
        <f>SUM(B49:OB_CORTO_PLAZO_FIN_01)</f>
        <v>0</v>
      </c>
      <c r="C48" s="85">
        <f>SUM(C49:fgsgfdfdfzxvzcvczv)</f>
        <v>0</v>
      </c>
      <c r="D48" s="85">
        <f>SUM(D49:OB_CORTO_PLAZO_FIN_03)</f>
        <v>0</v>
      </c>
      <c r="E48" s="85">
        <f>SUM(E49:gfhdhdgh)</f>
        <v>0</v>
      </c>
      <c r="F48" s="85">
        <f>SUM(F49:OB_CORTO_PLAZO_FIN_05)</f>
        <v>0</v>
      </c>
      <c r="G48" s="37"/>
      <c r="H48" s="37"/>
    </row>
    <row r="49" spans="1:8" ht="15">
      <c r="A49" s="66" t="s">
        <v>155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9"/>
      <c r="H49" s="69"/>
    </row>
    <row r="50" spans="1:8" ht="15">
      <c r="A50" s="66" t="s">
        <v>156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69"/>
      <c r="H50" s="69"/>
    </row>
    <row r="51" spans="1:8" ht="15">
      <c r="A51" s="66" t="s">
        <v>157</v>
      </c>
      <c r="B51" s="83">
        <v>0</v>
      </c>
      <c r="C51" s="83">
        <v>0</v>
      </c>
      <c r="D51" s="83">
        <v>0</v>
      </c>
      <c r="E51" s="83">
        <v>0</v>
      </c>
      <c r="F51" s="83">
        <v>0</v>
      </c>
      <c r="G51" s="69"/>
      <c r="H51" s="69"/>
    </row>
    <row r="52" spans="1:8" ht="15">
      <c r="A52" s="70" t="s">
        <v>146</v>
      </c>
      <c r="B52" s="93"/>
      <c r="C52" s="41"/>
      <c r="D52" s="41"/>
      <c r="E52" s="41"/>
      <c r="F52" s="41"/>
      <c r="G52" s="37"/>
      <c r="H52" s="37"/>
    </row>
    <row r="53" spans="1:8" ht="15">
      <c r="A53" s="37"/>
      <c r="B53" s="94"/>
      <c r="C53" s="37"/>
      <c r="D53" s="37"/>
      <c r="E53" s="37"/>
      <c r="F53" s="37"/>
      <c r="G53" s="37"/>
      <c r="H53" s="37"/>
    </row>
    <row r="54" ht="15"/>
    <row r="55" ht="15"/>
    <row r="56" ht="15"/>
    <row r="57" ht="15"/>
    <row r="58" ht="15"/>
    <row r="59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C8:H12 C13:IV19 C20:H37 B8:B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 horizontalCentered="1"/>
  <pageMargins left="0.7874015748031497" right="0.3937007874015748" top="0.7480314960629921" bottom="0.7480314960629921" header="0.31496062992125984" footer="0.31496062992125984"/>
  <pageSetup fitToHeight="1" fitToWidth="1" horizontalDpi="600" verticalDpi="600" orientation="landscape" scale="59" r:id="rId1"/>
  <ignoredErrors>
    <ignoredError sqref="C8:F8 B9:E9 H27 H13 H25 H32 E25:G25 C13:F13 C32:E32 B27:G27 C25 B26:G26 D25 B28:G31 B33:F33 B32 F32:G32 B20:G22 IV13:IV14 B48:F48 B24:G24 C23:E23 G23 G9:H9 H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4" sqref="A4:K4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7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1" customFormat="1" ht="37.5" customHeight="1">
      <c r="A1" s="157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0"/>
    </row>
    <row r="2" spans="1:11" ht="15">
      <c r="A2" s="142" t="s">
        <v>289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">
      <c r="A3" s="145" t="s">
        <v>159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">
      <c r="A4" s="148" t="s">
        <v>476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15">
      <c r="A5" s="145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477</v>
      </c>
      <c r="J6" s="2" t="s">
        <v>478</v>
      </c>
      <c r="K6" s="2" t="s">
        <v>479</v>
      </c>
    </row>
    <row r="7" spans="1:11" ht="15">
      <c r="A7" s="24"/>
      <c r="B7" s="7"/>
      <c r="C7" s="7"/>
      <c r="D7" s="7"/>
      <c r="E7" s="57"/>
      <c r="F7" s="7"/>
      <c r="G7" s="57"/>
      <c r="H7" s="57"/>
      <c r="I7" s="57"/>
      <c r="J7" s="57"/>
      <c r="K7" s="57"/>
    </row>
    <row r="8" spans="1:11" ht="15">
      <c r="A8" s="60" t="s">
        <v>168</v>
      </c>
      <c r="B8" s="12"/>
      <c r="C8" s="12"/>
      <c r="D8" s="12"/>
      <c r="E8" s="85">
        <f>SUM(E9:APP_FIN_04)</f>
        <v>0</v>
      </c>
      <c r="F8" s="96"/>
      <c r="G8" s="85">
        <f>SUM(G9:APP_FIN_06)</f>
        <v>0</v>
      </c>
      <c r="H8" s="85">
        <f>SUM(H9:APP_FIN_07)</f>
        <v>0</v>
      </c>
      <c r="I8" s="85">
        <f>SUM(I9:APP_FIN_08)</f>
        <v>0</v>
      </c>
      <c r="J8" s="85">
        <f>SUM(J9:APP_FIN_09)</f>
        <v>0</v>
      </c>
      <c r="K8" s="85">
        <f>SUM(K9:APP_FIN_10)</f>
        <v>0</v>
      </c>
    </row>
    <row r="9" spans="1:11" s="9" customFormat="1" ht="15">
      <c r="A9" s="61" t="s">
        <v>169</v>
      </c>
      <c r="B9" s="58"/>
      <c r="C9" s="58"/>
      <c r="D9" s="58"/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f>E9-J9</f>
        <v>0</v>
      </c>
    </row>
    <row r="10" spans="1:11" s="9" customFormat="1" ht="15">
      <c r="A10" s="61" t="s">
        <v>170</v>
      </c>
      <c r="B10" s="58"/>
      <c r="C10" s="58"/>
      <c r="D10" s="58"/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f>E10-J10</f>
        <v>0</v>
      </c>
    </row>
    <row r="11" spans="1:11" s="9" customFormat="1" ht="15">
      <c r="A11" s="61" t="s">
        <v>171</v>
      </c>
      <c r="B11" s="58"/>
      <c r="C11" s="58"/>
      <c r="D11" s="58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f>E11-J11</f>
        <v>0</v>
      </c>
    </row>
    <row r="12" spans="1:11" s="9" customFormat="1" ht="15">
      <c r="A12" s="61" t="s">
        <v>172</v>
      </c>
      <c r="B12" s="58"/>
      <c r="C12" s="58"/>
      <c r="D12" s="58"/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f>E12-J12</f>
        <v>0</v>
      </c>
    </row>
    <row r="13" spans="1:11" ht="15">
      <c r="A13" s="62" t="s">
        <v>146</v>
      </c>
      <c r="B13" s="59"/>
      <c r="C13" s="59"/>
      <c r="D13" s="59"/>
      <c r="E13" s="84"/>
      <c r="F13" s="84"/>
      <c r="G13" s="84"/>
      <c r="H13" s="84"/>
      <c r="I13" s="84"/>
      <c r="J13" s="84"/>
      <c r="K13" s="84"/>
    </row>
    <row r="14" spans="1:11" ht="15">
      <c r="A14" s="60" t="s">
        <v>173</v>
      </c>
      <c r="B14" s="12"/>
      <c r="C14" s="12"/>
      <c r="D14" s="12"/>
      <c r="E14" s="85">
        <f>SUM(E15:OTROS_FIN_04)</f>
        <v>0</v>
      </c>
      <c r="F14" s="96"/>
      <c r="G14" s="85">
        <f>SUM(G15:OTROS_FIN_06)</f>
        <v>0</v>
      </c>
      <c r="H14" s="85">
        <f>SUM(H15:OTROS_FIN_07)</f>
        <v>0</v>
      </c>
      <c r="I14" s="85">
        <f>SUM(I15:OTROS_FIN_08)</f>
        <v>0</v>
      </c>
      <c r="J14" s="85">
        <f>SUM(J15:OTROS_FIN_09)</f>
        <v>0</v>
      </c>
      <c r="K14" s="85">
        <f>SUM(K15:OTROS_FIN_10)</f>
        <v>0</v>
      </c>
    </row>
    <row r="15" spans="1:11" s="9" customFormat="1" ht="15">
      <c r="A15" s="61" t="s">
        <v>174</v>
      </c>
      <c r="B15" s="58"/>
      <c r="C15" s="58"/>
      <c r="D15" s="58"/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f>E15-J15</f>
        <v>0</v>
      </c>
    </row>
    <row r="16" spans="1:11" s="9" customFormat="1" ht="15">
      <c r="A16" s="61" t="s">
        <v>175</v>
      </c>
      <c r="B16" s="58"/>
      <c r="C16" s="58"/>
      <c r="D16" s="58"/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f>E16-J16</f>
        <v>0</v>
      </c>
    </row>
    <row r="17" spans="1:11" s="9" customFormat="1" ht="15">
      <c r="A17" s="61" t="s">
        <v>176</v>
      </c>
      <c r="B17" s="58"/>
      <c r="C17" s="58"/>
      <c r="D17" s="58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f>E17-J17</f>
        <v>0</v>
      </c>
    </row>
    <row r="18" spans="1:11" s="9" customFormat="1" ht="15">
      <c r="A18" s="61" t="s">
        <v>177</v>
      </c>
      <c r="B18" s="58"/>
      <c r="C18" s="58"/>
      <c r="D18" s="58"/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f>E18-J18</f>
        <v>0</v>
      </c>
    </row>
    <row r="19" spans="1:11" ht="15">
      <c r="A19" s="62" t="s">
        <v>146</v>
      </c>
      <c r="B19" s="59"/>
      <c r="C19" s="59"/>
      <c r="D19" s="59"/>
      <c r="E19" s="84"/>
      <c r="F19" s="84"/>
      <c r="G19" s="84"/>
      <c r="H19" s="84"/>
      <c r="I19" s="84"/>
      <c r="J19" s="84"/>
      <c r="K19" s="84"/>
    </row>
    <row r="20" spans="1:11" ht="15">
      <c r="A20" s="60" t="s">
        <v>178</v>
      </c>
      <c r="B20" s="12"/>
      <c r="C20" s="12"/>
      <c r="D20" s="12"/>
      <c r="E20" s="85">
        <f>fdggdfgdgfd+sdfsdfsfds</f>
        <v>0</v>
      </c>
      <c r="F20" s="96"/>
      <c r="G20" s="85">
        <f>sdfsfsdf+OTROS_T6</f>
        <v>0</v>
      </c>
      <c r="H20" s="85">
        <f>APP_T7+dsfdsdsdsdsdsdsdsdsdsdsdsdsdsdsdsdsdsdsdsdsdsdsdsdsdsdsdsdsdsdsdsdsdsds</f>
        <v>0</v>
      </c>
      <c r="I20" s="85">
        <f>APP_T8+dsfsfdsffffffff</f>
        <v>0</v>
      </c>
      <c r="J20" s="85">
        <f>fdsfdsfdsfdsfdsfdsfdsfdsfdsfdsfdsfds+OTROS_T9</f>
        <v>0</v>
      </c>
      <c r="K20" s="85">
        <f>APP_T10+OTROS_T10</f>
        <v>0</v>
      </c>
    </row>
    <row r="21" spans="1:11" ht="15">
      <c r="A21" s="34"/>
      <c r="B21" s="8"/>
      <c r="C21" s="8"/>
      <c r="D21" s="8"/>
      <c r="E21" s="41"/>
      <c r="F21" s="8"/>
      <c r="G21" s="41"/>
      <c r="H21" s="41"/>
      <c r="I21" s="41"/>
      <c r="J21" s="41"/>
      <c r="K21" s="41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13">
      <selection activeCell="A59" sqref="A59"/>
    </sheetView>
  </sheetViews>
  <sheetFormatPr defaultColWidth="0.8554687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57" t="s">
        <v>179</v>
      </c>
      <c r="B1" s="157"/>
      <c r="C1" s="157"/>
      <c r="D1" s="157"/>
    </row>
    <row r="2" spans="1:4" ht="15">
      <c r="A2" s="142" t="s">
        <v>289</v>
      </c>
      <c r="B2" s="143"/>
      <c r="C2" s="143"/>
      <c r="D2" s="144"/>
    </row>
    <row r="3" spans="1:4" ht="15">
      <c r="A3" s="145" t="s">
        <v>180</v>
      </c>
      <c r="B3" s="146"/>
      <c r="C3" s="146"/>
      <c r="D3" s="147"/>
    </row>
    <row r="4" spans="1:4" ht="15">
      <c r="A4" s="148" t="s">
        <v>476</v>
      </c>
      <c r="B4" s="149"/>
      <c r="C4" s="149"/>
      <c r="D4" s="150"/>
    </row>
    <row r="5" spans="1:4" ht="15">
      <c r="A5" s="151" t="s">
        <v>2</v>
      </c>
      <c r="B5" s="152"/>
      <c r="C5" s="152"/>
      <c r="D5" s="153"/>
    </row>
    <row r="6" spans="1:4" ht="15">
      <c r="A6" s="37"/>
      <c r="B6" s="37"/>
      <c r="C6" s="37"/>
      <c r="D6" s="37"/>
    </row>
    <row r="7" spans="1:4" ht="30">
      <c r="A7" s="13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2" t="s">
        <v>184</v>
      </c>
      <c r="B8" s="47">
        <f>SUM(B9:B11)</f>
        <v>24769484921</v>
      </c>
      <c r="C8" s="47">
        <f>SUM(C9:C11)</f>
        <v>7523002664.91</v>
      </c>
      <c r="D8" s="47">
        <f>SUM(D9:D11)</f>
        <v>7522983777.91</v>
      </c>
    </row>
    <row r="9" spans="1:4" ht="15">
      <c r="A9" s="19" t="s">
        <v>185</v>
      </c>
      <c r="B9" s="49">
        <f>+'Formato 5'!B41</f>
        <v>12560746811</v>
      </c>
      <c r="C9" s="49">
        <f>+'Formato 5'!E41</f>
        <v>4077741598.1699996</v>
      </c>
      <c r="D9" s="56">
        <f>+'Formato 5'!F41</f>
        <v>4077722711.1699996</v>
      </c>
    </row>
    <row r="10" spans="1:4" ht="15">
      <c r="A10" s="19" t="s">
        <v>186</v>
      </c>
      <c r="B10" s="49">
        <f>+'Formato 5'!B65</f>
        <v>12265972110</v>
      </c>
      <c r="C10" s="49">
        <f>+'Formato 5'!E65</f>
        <v>3458808865.9800005</v>
      </c>
      <c r="D10" s="56">
        <f>+'Formato 5'!F65</f>
        <v>3458808865.9800005</v>
      </c>
    </row>
    <row r="11" spans="1:4" ht="15">
      <c r="A11" s="19" t="s">
        <v>187</v>
      </c>
      <c r="B11" s="49">
        <f>B44</f>
        <v>-57234000</v>
      </c>
      <c r="C11" s="49">
        <f>C44</f>
        <v>-13547799.24</v>
      </c>
      <c r="D11" s="49">
        <f>D44</f>
        <v>-13547799.24</v>
      </c>
    </row>
    <row r="12" spans="1:4" ht="15">
      <c r="A12" s="21"/>
      <c r="B12" s="40"/>
      <c r="C12" s="40"/>
      <c r="D12" s="40"/>
    </row>
    <row r="13" spans="1:4" ht="15">
      <c r="A13" s="22" t="s">
        <v>188</v>
      </c>
      <c r="B13" s="47">
        <f>B14+B15</f>
        <v>24769484921</v>
      </c>
      <c r="C13" s="47">
        <f>C14+C15</f>
        <v>5832424723.8</v>
      </c>
      <c r="D13" s="47">
        <f>D14+D15</f>
        <v>5818035339.24</v>
      </c>
    </row>
    <row r="14" spans="1:4" ht="15">
      <c r="A14" s="19" t="s">
        <v>189</v>
      </c>
      <c r="B14" s="49">
        <f>+'Formato 6 a)'!B9-'Formato 6 a)'!B75</f>
        <v>12503512811</v>
      </c>
      <c r="C14" s="49">
        <f>+'Formato 6 a)'!E9-'Formato 6 a)'!E75</f>
        <v>2621940428.9700003</v>
      </c>
      <c r="D14" s="49">
        <f>+'Formato 6 a)'!F9-'Formato 6 a)'!F75</f>
        <v>2607551044.4100003</v>
      </c>
    </row>
    <row r="15" spans="1:4" ht="15">
      <c r="A15" s="19" t="s">
        <v>190</v>
      </c>
      <c r="B15" s="49">
        <f>+'Formato 6 a)'!B83-'Formato 6 a)'!B150</f>
        <v>12265972110</v>
      </c>
      <c r="C15" s="49">
        <f>+'Formato 6 a)'!E83-'Formato 6 a)'!E150</f>
        <v>3210484294.83</v>
      </c>
      <c r="D15" s="49">
        <f>+'Formato 6 a)'!F83-'Formato 6 a)'!F150</f>
        <v>3210484294.83</v>
      </c>
    </row>
    <row r="16" spans="1:4" ht="15">
      <c r="A16" s="21"/>
      <c r="B16" s="40"/>
      <c r="C16" s="40"/>
      <c r="D16" s="40"/>
    </row>
    <row r="17" spans="1:4" ht="15">
      <c r="A17" s="22" t="s">
        <v>191</v>
      </c>
      <c r="B17" s="15">
        <f>B18+B19</f>
        <v>0</v>
      </c>
      <c r="C17" s="14">
        <f>C18+C19</f>
        <v>216224715.42999995</v>
      </c>
      <c r="D17" s="14">
        <f>D18+D19</f>
        <v>211648812.86999995</v>
      </c>
    </row>
    <row r="18" spans="1:4" ht="15">
      <c r="A18" s="19" t="s">
        <v>192</v>
      </c>
      <c r="B18" s="16">
        <v>0</v>
      </c>
      <c r="C18" s="56">
        <v>72554260.53</v>
      </c>
      <c r="D18" s="56">
        <v>67978357.97</v>
      </c>
    </row>
    <row r="19" spans="1:4" ht="15">
      <c r="A19" s="19" t="s">
        <v>193</v>
      </c>
      <c r="B19" s="16">
        <v>0</v>
      </c>
      <c r="C19" s="56">
        <v>143670454.89999995</v>
      </c>
      <c r="D19" s="56">
        <v>143670454.89999995</v>
      </c>
    </row>
    <row r="20" spans="1:4" ht="15">
      <c r="A20" s="21"/>
      <c r="B20" s="40"/>
      <c r="C20" s="40"/>
      <c r="D20" s="40"/>
    </row>
    <row r="21" spans="1:4" ht="15">
      <c r="A21" s="22" t="s">
        <v>194</v>
      </c>
      <c r="B21" s="97">
        <f>B8-B13+B17</f>
        <v>0</v>
      </c>
      <c r="C21" s="47">
        <f>C8-C13+C17</f>
        <v>1906802656.5399995</v>
      </c>
      <c r="D21" s="132">
        <f>D8-D13+D17</f>
        <v>1916597251.54</v>
      </c>
    </row>
    <row r="22" spans="1:4" ht="15">
      <c r="A22" s="22"/>
      <c r="B22" s="40"/>
      <c r="C22" s="40"/>
      <c r="D22" s="40"/>
    </row>
    <row r="23" spans="1:4" ht="15">
      <c r="A23" s="22" t="s">
        <v>195</v>
      </c>
      <c r="B23" s="47">
        <f>B21-B11</f>
        <v>57234000</v>
      </c>
      <c r="C23" s="47">
        <f>C21-C11</f>
        <v>1920350455.7799995</v>
      </c>
      <c r="D23" s="47">
        <f>D21-D11</f>
        <v>1930145050.78</v>
      </c>
    </row>
    <row r="24" spans="1:4" ht="15">
      <c r="A24" s="22"/>
      <c r="B24" s="55"/>
      <c r="C24" s="55"/>
      <c r="D24" s="55"/>
    </row>
    <row r="25" spans="1:4" ht="15">
      <c r="A25" s="43" t="s">
        <v>196</v>
      </c>
      <c r="B25" s="47">
        <f>B23-B17</f>
        <v>57234000</v>
      </c>
      <c r="C25" s="47">
        <f>C23-C17</f>
        <v>1704125740.3499994</v>
      </c>
      <c r="D25" s="47">
        <f>D23-D17</f>
        <v>1718496237.91</v>
      </c>
    </row>
    <row r="26" spans="1:4" ht="15">
      <c r="A26" s="54"/>
      <c r="B26" s="41"/>
      <c r="C26" s="41"/>
      <c r="D26" s="41"/>
    </row>
    <row r="27" spans="1:4" ht="15">
      <c r="A27" s="68"/>
      <c r="B27" s="37"/>
      <c r="C27" s="37"/>
      <c r="D27" s="37"/>
    </row>
    <row r="28" spans="1:4" ht="15">
      <c r="A28" s="13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2" t="s">
        <v>200</v>
      </c>
      <c r="B29" s="26">
        <f>B30+B31</f>
        <v>302124843</v>
      </c>
      <c r="C29" s="26">
        <f>C30+C31</f>
        <v>73282877.12</v>
      </c>
      <c r="D29" s="26">
        <f>D30+D31</f>
        <v>73282877.12</v>
      </c>
    </row>
    <row r="30" spans="1:4" ht="15">
      <c r="A30" s="19" t="s">
        <v>201</v>
      </c>
      <c r="B30" s="27">
        <f>+'Formato 6 a)'!B76</f>
        <v>302124843</v>
      </c>
      <c r="C30" s="27">
        <f>+'Formato 6 a)'!E76</f>
        <v>73282877.12</v>
      </c>
      <c r="D30" s="27">
        <f>+'Formato 6 a)'!F76</f>
        <v>73282877.12</v>
      </c>
    </row>
    <row r="31" spans="1:4" ht="15">
      <c r="A31" s="19" t="s">
        <v>202</v>
      </c>
      <c r="B31" s="83">
        <v>0</v>
      </c>
      <c r="C31" s="83">
        <v>0</v>
      </c>
      <c r="D31" s="83">
        <v>0</v>
      </c>
    </row>
    <row r="32" spans="1:4" ht="15">
      <c r="A32" s="33"/>
      <c r="B32" s="28"/>
      <c r="C32" s="28"/>
      <c r="D32" s="28"/>
    </row>
    <row r="33" spans="1:4" ht="15">
      <c r="A33" s="22" t="s">
        <v>203</v>
      </c>
      <c r="B33" s="26">
        <f>B25+B29</f>
        <v>359358843</v>
      </c>
      <c r="C33" s="26">
        <f>C25+C29</f>
        <v>1777408617.4699993</v>
      </c>
      <c r="D33" s="26">
        <f>D25+D29</f>
        <v>1791779115.0300002</v>
      </c>
    </row>
    <row r="34" spans="1:4" ht="15">
      <c r="A34" s="34"/>
      <c r="B34" s="34"/>
      <c r="C34" s="34"/>
      <c r="D34" s="34"/>
    </row>
    <row r="35" spans="1:4" ht="15">
      <c r="A35" s="68"/>
      <c r="B35" s="37"/>
      <c r="C35" s="37"/>
      <c r="D35" s="37"/>
    </row>
    <row r="36" spans="1:4" ht="30">
      <c r="A36" s="13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2" t="s">
        <v>205</v>
      </c>
      <c r="B37" s="85">
        <f>B38+B39</f>
        <v>0</v>
      </c>
      <c r="C37" s="85">
        <f>C38+C39</f>
        <v>0</v>
      </c>
      <c r="D37" s="85">
        <f>D38+D39</f>
        <v>0</v>
      </c>
    </row>
    <row r="38" spans="1:4" ht="15">
      <c r="A38" s="19" t="s">
        <v>206</v>
      </c>
      <c r="B38" s="83">
        <v>0</v>
      </c>
      <c r="C38" s="83">
        <v>0</v>
      </c>
      <c r="D38" s="83">
        <v>0</v>
      </c>
    </row>
    <row r="39" spans="1:4" ht="15">
      <c r="A39" s="19" t="s">
        <v>207</v>
      </c>
      <c r="B39" s="83">
        <v>0</v>
      </c>
      <c r="C39" s="83">
        <v>0</v>
      </c>
      <c r="D39" s="83">
        <v>0</v>
      </c>
    </row>
    <row r="40" spans="1:4" ht="15">
      <c r="A40" s="22" t="s">
        <v>208</v>
      </c>
      <c r="B40" s="85">
        <f>B41+B42</f>
        <v>57234000</v>
      </c>
      <c r="C40" s="85">
        <f>C41+C42</f>
        <v>13547799.24</v>
      </c>
      <c r="D40" s="85">
        <f>D41+D42</f>
        <v>13547799.24</v>
      </c>
    </row>
    <row r="41" spans="1:4" ht="15">
      <c r="A41" s="19" t="s">
        <v>209</v>
      </c>
      <c r="B41" s="83">
        <f>+'Formato 6 a)'!B75</f>
        <v>57234000</v>
      </c>
      <c r="C41" s="83">
        <f>+'Formato 6 a)'!E75</f>
        <v>13547799.24</v>
      </c>
      <c r="D41" s="83">
        <f>+'Formato 6 a)'!F75</f>
        <v>13547799.24</v>
      </c>
    </row>
    <row r="42" spans="1:4" ht="15">
      <c r="A42" s="19" t="s">
        <v>210</v>
      </c>
      <c r="B42" s="83">
        <v>0</v>
      </c>
      <c r="C42" s="83">
        <v>0</v>
      </c>
      <c r="D42" s="83">
        <v>0</v>
      </c>
    </row>
    <row r="43" spans="1:4" ht="15">
      <c r="A43" s="33"/>
      <c r="B43" s="84"/>
      <c r="C43" s="84"/>
      <c r="D43" s="84"/>
    </row>
    <row r="44" spans="1:4" ht="15">
      <c r="A44" s="22" t="s">
        <v>211</v>
      </c>
      <c r="B44" s="85">
        <f>B37-B40</f>
        <v>-57234000</v>
      </c>
      <c r="C44" s="85">
        <f>C37-C40</f>
        <v>-13547799.24</v>
      </c>
      <c r="D44" s="85">
        <f>D37-D40</f>
        <v>-13547799.24</v>
      </c>
    </row>
    <row r="45" spans="1:4" ht="15">
      <c r="A45" s="53"/>
      <c r="B45" s="34"/>
      <c r="C45" s="34"/>
      <c r="D45" s="34"/>
    </row>
    <row r="46" spans="1:4" ht="15">
      <c r="A46" s="37"/>
      <c r="B46" s="37"/>
      <c r="C46" s="37"/>
      <c r="D46" s="37"/>
    </row>
    <row r="47" spans="1:4" ht="30">
      <c r="A47" s="13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4" t="s">
        <v>212</v>
      </c>
      <c r="B48" s="50">
        <f>B9</f>
        <v>12560746811</v>
      </c>
      <c r="C48" s="50">
        <f>C9</f>
        <v>4077741598.1699996</v>
      </c>
      <c r="D48" s="50">
        <f>D9</f>
        <v>4077722711.1699996</v>
      </c>
    </row>
    <row r="49" spans="1:4" ht="15">
      <c r="A49" s="46" t="s">
        <v>213</v>
      </c>
      <c r="B49" s="26">
        <f>B50-B51</f>
        <v>-57234000</v>
      </c>
      <c r="C49" s="26">
        <f>C50-C51</f>
        <v>-13547799.24</v>
      </c>
      <c r="D49" s="26">
        <f>D50-D51</f>
        <v>-13547799.24</v>
      </c>
    </row>
    <row r="50" spans="1:4" ht="15">
      <c r="A50" s="48" t="s">
        <v>206</v>
      </c>
      <c r="B50" s="83">
        <f>+B38</f>
        <v>0</v>
      </c>
      <c r="C50" s="83">
        <f>+C38</f>
        <v>0</v>
      </c>
      <c r="D50" s="83">
        <f>+D38</f>
        <v>0</v>
      </c>
    </row>
    <row r="51" spans="1:4" ht="15">
      <c r="A51" s="48" t="s">
        <v>209</v>
      </c>
      <c r="B51" s="83">
        <f>+B41</f>
        <v>57234000</v>
      </c>
      <c r="C51" s="83">
        <f>+C41</f>
        <v>13547799.24</v>
      </c>
      <c r="D51" s="83">
        <f>+D41</f>
        <v>13547799.24</v>
      </c>
    </row>
    <row r="52" spans="1:4" ht="15">
      <c r="A52" s="33"/>
      <c r="B52" s="84"/>
      <c r="C52" s="84"/>
      <c r="D52" s="84"/>
    </row>
    <row r="53" spans="1:4" ht="15">
      <c r="A53" s="19" t="s">
        <v>189</v>
      </c>
      <c r="B53" s="83">
        <f>B14</f>
        <v>12503512811</v>
      </c>
      <c r="C53" s="83">
        <f>C14</f>
        <v>2621940428.9700003</v>
      </c>
      <c r="D53" s="83">
        <f>D14</f>
        <v>2607551044.4100003</v>
      </c>
    </row>
    <row r="54" spans="1:4" ht="15">
      <c r="A54" s="33"/>
      <c r="B54" s="84"/>
      <c r="C54" s="84"/>
      <c r="D54" s="84"/>
    </row>
    <row r="55" spans="1:4" ht="15">
      <c r="A55" s="19" t="s">
        <v>192</v>
      </c>
      <c r="B55" s="98">
        <f>B18</f>
        <v>0</v>
      </c>
      <c r="C55" s="99">
        <f>C18</f>
        <v>72554260.53</v>
      </c>
      <c r="D55" s="99">
        <f>D18</f>
        <v>67978357.97</v>
      </c>
    </row>
    <row r="56" spans="1:4" ht="15">
      <c r="A56" s="33"/>
      <c r="B56" s="84"/>
      <c r="C56" s="84"/>
      <c r="D56" s="84"/>
    </row>
    <row r="57" spans="1:4" ht="30">
      <c r="A57" s="43" t="s">
        <v>214</v>
      </c>
      <c r="B57" s="85">
        <f>B48+B49-B53+B55</f>
        <v>0</v>
      </c>
      <c r="C57" s="85">
        <f>C48+C49-C53+C55</f>
        <v>1514807630.4899995</v>
      </c>
      <c r="D57" s="85">
        <f>D48+D49-D53+D55</f>
        <v>1524602225.4899995</v>
      </c>
    </row>
    <row r="58" spans="1:4" ht="15">
      <c r="A58" s="51"/>
      <c r="B58" s="52"/>
      <c r="C58" s="52"/>
      <c r="D58" s="52"/>
    </row>
    <row r="59" spans="1:4" ht="15">
      <c r="A59" s="43" t="s">
        <v>215</v>
      </c>
      <c r="B59" s="26">
        <f>B57-B49</f>
        <v>57234000</v>
      </c>
      <c r="C59" s="26">
        <f>C57-C49</f>
        <v>1528355429.7299995</v>
      </c>
      <c r="D59" s="26">
        <f>D57-D49</f>
        <v>1538150024.7299995</v>
      </c>
    </row>
    <row r="60" spans="1:4" ht="15">
      <c r="A60" s="34"/>
      <c r="B60" s="34"/>
      <c r="C60" s="34"/>
      <c r="D60" s="34"/>
    </row>
    <row r="61" spans="1:4" ht="15">
      <c r="A61" s="37"/>
      <c r="B61" s="37"/>
      <c r="C61" s="37"/>
      <c r="D61" s="37"/>
    </row>
    <row r="62" spans="1:4" ht="30">
      <c r="A62" s="13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4" t="s">
        <v>186</v>
      </c>
      <c r="B63" s="45">
        <f>B10</f>
        <v>12265972110</v>
      </c>
      <c r="C63" s="45">
        <f>C10</f>
        <v>3458808865.9800005</v>
      </c>
      <c r="D63" s="45">
        <f>D10</f>
        <v>3458808865.9800005</v>
      </c>
    </row>
    <row r="64" spans="1:4" ht="30">
      <c r="A64" s="46" t="s">
        <v>216</v>
      </c>
      <c r="B64" s="97">
        <f>B65-B66</f>
        <v>0</v>
      </c>
      <c r="C64" s="97">
        <f>C65-C66</f>
        <v>0</v>
      </c>
      <c r="D64" s="97">
        <f>D65-D66</f>
        <v>0</v>
      </c>
    </row>
    <row r="65" spans="1:4" ht="15">
      <c r="A65" s="48" t="s">
        <v>207</v>
      </c>
      <c r="B65" s="100">
        <f>+B39</f>
        <v>0</v>
      </c>
      <c r="C65" s="100">
        <f>+C39</f>
        <v>0</v>
      </c>
      <c r="D65" s="100">
        <f>+D39</f>
        <v>0</v>
      </c>
    </row>
    <row r="66" spans="1:4" ht="15">
      <c r="A66" s="48" t="s">
        <v>210</v>
      </c>
      <c r="B66" s="100">
        <f>+B42</f>
        <v>0</v>
      </c>
      <c r="C66" s="100">
        <f>+C42</f>
        <v>0</v>
      </c>
      <c r="D66" s="100">
        <f>+D42</f>
        <v>0</v>
      </c>
    </row>
    <row r="67" spans="1:4" ht="15">
      <c r="A67" s="33"/>
      <c r="B67" s="91"/>
      <c r="C67" s="91"/>
      <c r="D67" s="91"/>
    </row>
    <row r="68" spans="1:4" ht="15">
      <c r="A68" s="19" t="s">
        <v>217</v>
      </c>
      <c r="B68" s="100">
        <f>B15</f>
        <v>12265972110</v>
      </c>
      <c r="C68" s="100">
        <f>C15</f>
        <v>3210484294.83</v>
      </c>
      <c r="D68" s="100">
        <f>D15</f>
        <v>3210484294.83</v>
      </c>
    </row>
    <row r="69" spans="1:4" ht="15">
      <c r="A69" s="33"/>
      <c r="B69" s="91"/>
      <c r="C69" s="91"/>
      <c r="D69" s="91"/>
    </row>
    <row r="70" spans="1:4" ht="15">
      <c r="A70" s="19" t="s">
        <v>193</v>
      </c>
      <c r="B70" s="101">
        <f>B19</f>
        <v>0</v>
      </c>
      <c r="C70" s="102">
        <f>C19</f>
        <v>143670454.89999995</v>
      </c>
      <c r="D70" s="102">
        <f>D19</f>
        <v>143670454.89999995</v>
      </c>
    </row>
    <row r="71" spans="1:4" ht="15">
      <c r="A71" s="33"/>
      <c r="B71" s="91"/>
      <c r="C71" s="91"/>
      <c r="D71" s="91"/>
    </row>
    <row r="72" spans="1:4" ht="30">
      <c r="A72" s="43" t="s">
        <v>218</v>
      </c>
      <c r="B72" s="97">
        <f>B63+B64-B68+B70</f>
        <v>0</v>
      </c>
      <c r="C72" s="97">
        <f>C63+C64-C68+C70</f>
        <v>391995026.05000055</v>
      </c>
      <c r="D72" s="97">
        <f>D63+D64-D68+D70</f>
        <v>391995026.05000055</v>
      </c>
    </row>
    <row r="73" spans="1:4" ht="15">
      <c r="A73" s="33"/>
      <c r="B73" s="91"/>
      <c r="C73" s="91"/>
      <c r="D73" s="91"/>
    </row>
    <row r="74" spans="1:4" ht="15">
      <c r="A74" s="43" t="s">
        <v>219</v>
      </c>
      <c r="B74" s="97">
        <f>B72-B64</f>
        <v>0</v>
      </c>
      <c r="C74" s="97">
        <f>C72-C64</f>
        <v>391995026.05000055</v>
      </c>
      <c r="D74" s="97">
        <f>D72-D64</f>
        <v>391995026.05000055</v>
      </c>
    </row>
    <row r="75" spans="1:4" ht="15">
      <c r="A75" s="34"/>
      <c r="B75" s="41"/>
      <c r="C75" s="41"/>
      <c r="D75" s="41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8:D25 B48:D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2:D22 B29:D29 B33:D33 B37:D37 B40:D40 B44:D44 B48:D49 B50:D53 B55:D56 B63:D63 B64:D64 B68:D68 C70:D71 D72:D74 C72 B74:C74 B72:B73 B65:D66 C9:D10 B9:B10 B14:B15 C14:C15 D14:D15 B30:D30 B41:D41 B21:C21 B25:D25 B24:D24 B23:C23 D23 B57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76" sqref="A76"/>
    </sheetView>
  </sheetViews>
  <sheetFormatPr defaultColWidth="1.1484375" defaultRowHeight="15" zeroHeight="1"/>
  <cols>
    <col min="1" max="1" width="91.00390625" style="0" customWidth="1"/>
    <col min="2" max="7" width="20.7109375" style="0" customWidth="1"/>
    <col min="8" max="255" width="11.421875" style="0" hidden="1" customWidth="1"/>
  </cols>
  <sheetData>
    <row r="1" spans="1:7" ht="21">
      <c r="A1" s="161" t="s">
        <v>220</v>
      </c>
      <c r="B1" s="161"/>
      <c r="C1" s="161"/>
      <c r="D1" s="161"/>
      <c r="E1" s="161"/>
      <c r="F1" s="161"/>
      <c r="G1" s="161"/>
    </row>
    <row r="2" spans="1:7" ht="15">
      <c r="A2" s="142" t="s">
        <v>289</v>
      </c>
      <c r="B2" s="143"/>
      <c r="C2" s="143"/>
      <c r="D2" s="143"/>
      <c r="E2" s="143"/>
      <c r="F2" s="143"/>
      <c r="G2" s="144"/>
    </row>
    <row r="3" spans="1:7" ht="15">
      <c r="A3" s="145" t="s">
        <v>221</v>
      </c>
      <c r="B3" s="146"/>
      <c r="C3" s="146"/>
      <c r="D3" s="146"/>
      <c r="E3" s="146"/>
      <c r="F3" s="146"/>
      <c r="G3" s="147"/>
    </row>
    <row r="4" spans="1:7" ht="15">
      <c r="A4" s="148" t="s">
        <v>476</v>
      </c>
      <c r="B4" s="149"/>
      <c r="C4" s="149"/>
      <c r="D4" s="149"/>
      <c r="E4" s="149"/>
      <c r="F4" s="149"/>
      <c r="G4" s="150"/>
    </row>
    <row r="5" spans="1:7" ht="15">
      <c r="A5" s="151" t="s">
        <v>2</v>
      </c>
      <c r="B5" s="152"/>
      <c r="C5" s="152"/>
      <c r="D5" s="152"/>
      <c r="E5" s="152"/>
      <c r="F5" s="152"/>
      <c r="G5" s="153"/>
    </row>
    <row r="6" spans="1:7" ht="15">
      <c r="A6" s="158" t="s">
        <v>222</v>
      </c>
      <c r="B6" s="160" t="s">
        <v>223</v>
      </c>
      <c r="C6" s="160"/>
      <c r="D6" s="160"/>
      <c r="E6" s="160"/>
      <c r="F6" s="160"/>
      <c r="G6" s="160" t="s">
        <v>224</v>
      </c>
    </row>
    <row r="7" spans="1:7" ht="30">
      <c r="A7" s="159"/>
      <c r="B7" s="17" t="s">
        <v>225</v>
      </c>
      <c r="C7" s="6" t="s">
        <v>226</v>
      </c>
      <c r="D7" s="17" t="s">
        <v>227</v>
      </c>
      <c r="E7" s="17" t="s">
        <v>182</v>
      </c>
      <c r="F7" s="17" t="s">
        <v>228</v>
      </c>
      <c r="G7" s="160"/>
    </row>
    <row r="8" spans="1:7" ht="15">
      <c r="A8" s="18" t="s">
        <v>229</v>
      </c>
      <c r="B8" s="40"/>
      <c r="C8" s="40"/>
      <c r="D8" s="40"/>
      <c r="E8" s="40"/>
      <c r="F8" s="40"/>
      <c r="G8" s="40"/>
    </row>
    <row r="9" spans="1:7" ht="15">
      <c r="A9" s="113" t="s">
        <v>230</v>
      </c>
      <c r="B9" s="85">
        <v>1750471994</v>
      </c>
      <c r="C9" s="85">
        <v>0</v>
      </c>
      <c r="D9" s="129">
        <f>+B9+C9</f>
        <v>1750471994</v>
      </c>
      <c r="E9" s="85">
        <v>637447049.5</v>
      </c>
      <c r="F9" s="85">
        <v>637447049.5</v>
      </c>
      <c r="G9" s="85">
        <f>+F9-B9</f>
        <v>-1113024944.5</v>
      </c>
    </row>
    <row r="10" spans="1:7" ht="15">
      <c r="A10" s="113" t="s">
        <v>231</v>
      </c>
      <c r="B10" s="85">
        <v>0</v>
      </c>
      <c r="C10" s="85">
        <v>0</v>
      </c>
      <c r="D10" s="129">
        <f aca="true" t="shared" si="0" ref="D10:D39">+B10+C10</f>
        <v>0</v>
      </c>
      <c r="E10" s="85">
        <v>0</v>
      </c>
      <c r="F10" s="85">
        <v>0</v>
      </c>
      <c r="G10" s="85">
        <f aca="true" t="shared" si="1" ref="G10:G15">+F10-B10</f>
        <v>0</v>
      </c>
    </row>
    <row r="11" spans="1:7" ht="15">
      <c r="A11" s="113" t="s">
        <v>232</v>
      </c>
      <c r="B11" s="85">
        <v>0</v>
      </c>
      <c r="C11" s="85">
        <v>0</v>
      </c>
      <c r="D11" s="129">
        <f t="shared" si="0"/>
        <v>0</v>
      </c>
      <c r="E11" s="85">
        <v>0</v>
      </c>
      <c r="F11" s="85">
        <v>0</v>
      </c>
      <c r="G11" s="85">
        <f t="shared" si="1"/>
        <v>0</v>
      </c>
    </row>
    <row r="12" spans="1:7" ht="15">
      <c r="A12" s="113" t="s">
        <v>233</v>
      </c>
      <c r="B12" s="85">
        <v>791391704</v>
      </c>
      <c r="C12" s="85">
        <v>0</v>
      </c>
      <c r="D12" s="129">
        <f t="shared" si="0"/>
        <v>791391704</v>
      </c>
      <c r="E12" s="85">
        <v>343442454.39</v>
      </c>
      <c r="F12" s="85">
        <v>343442454.39</v>
      </c>
      <c r="G12" s="85">
        <f t="shared" si="1"/>
        <v>-447949249.61</v>
      </c>
    </row>
    <row r="13" spans="1:7" ht="15">
      <c r="A13" s="113" t="s">
        <v>234</v>
      </c>
      <c r="B13" s="85">
        <v>33730134</v>
      </c>
      <c r="C13" s="85">
        <v>60707608.2</v>
      </c>
      <c r="D13" s="129">
        <f t="shared" si="0"/>
        <v>94437742.2</v>
      </c>
      <c r="E13" s="85">
        <v>94420620.20000002</v>
      </c>
      <c r="F13" s="85">
        <v>94420620.20000002</v>
      </c>
      <c r="G13" s="85">
        <f t="shared" si="1"/>
        <v>60690486.20000002</v>
      </c>
    </row>
    <row r="14" spans="1:7" ht="15">
      <c r="A14" s="113" t="s">
        <v>235</v>
      </c>
      <c r="B14" s="85">
        <v>13133348</v>
      </c>
      <c r="C14" s="85">
        <v>20747352.09</v>
      </c>
      <c r="D14" s="129">
        <f t="shared" si="0"/>
        <v>33880700.09</v>
      </c>
      <c r="E14" s="85">
        <v>33854591.81</v>
      </c>
      <c r="F14" s="85">
        <v>33835704.81</v>
      </c>
      <c r="G14" s="85">
        <f t="shared" si="1"/>
        <v>20702356.810000002</v>
      </c>
    </row>
    <row r="15" spans="1:7" ht="15">
      <c r="A15" s="113" t="s">
        <v>236</v>
      </c>
      <c r="B15" s="85">
        <v>0</v>
      </c>
      <c r="C15" s="85">
        <v>0</v>
      </c>
      <c r="D15" s="129">
        <f t="shared" si="0"/>
        <v>0</v>
      </c>
      <c r="E15" s="85">
        <v>0</v>
      </c>
      <c r="F15" s="85">
        <v>0</v>
      </c>
      <c r="G15" s="85">
        <f t="shared" si="1"/>
        <v>0</v>
      </c>
    </row>
    <row r="16" spans="1:7" ht="15">
      <c r="A16" s="114" t="s">
        <v>237</v>
      </c>
      <c r="B16" s="85">
        <f>SUM(B17:B27)</f>
        <v>9813611800</v>
      </c>
      <c r="C16" s="129">
        <f>SUM(C17:C27)</f>
        <v>1211654242</v>
      </c>
      <c r="D16" s="129">
        <f t="shared" si="0"/>
        <v>11025266042</v>
      </c>
      <c r="E16" s="129">
        <f>SUM(E17:E27)</f>
        <v>2927722943</v>
      </c>
      <c r="F16" s="85">
        <f>SUM(F17:F27)</f>
        <v>2927722943</v>
      </c>
      <c r="G16" s="85">
        <f>SUM(G17:G27)</f>
        <v>-6885888857</v>
      </c>
    </row>
    <row r="17" spans="1:7" ht="15">
      <c r="A17" s="20" t="s">
        <v>238</v>
      </c>
      <c r="B17" s="83">
        <v>5819779636</v>
      </c>
      <c r="C17" s="83">
        <v>952420731</v>
      </c>
      <c r="D17" s="129">
        <f>+B17+C17</f>
        <v>6772200367</v>
      </c>
      <c r="E17" s="83">
        <v>1823408091</v>
      </c>
      <c r="F17" s="83">
        <v>1823408091</v>
      </c>
      <c r="G17" s="83">
        <f>+F17-B17</f>
        <v>-3996371545</v>
      </c>
    </row>
    <row r="18" spans="1:7" ht="15">
      <c r="A18" s="20" t="s">
        <v>239</v>
      </c>
      <c r="B18" s="83">
        <v>451385298</v>
      </c>
      <c r="C18" s="83">
        <v>-3525524</v>
      </c>
      <c r="D18" s="129">
        <f t="shared" si="0"/>
        <v>447859774</v>
      </c>
      <c r="E18" s="83">
        <v>105735119</v>
      </c>
      <c r="F18" s="83">
        <v>105735119</v>
      </c>
      <c r="G18" s="83">
        <f aca="true" t="shared" si="2" ref="G18:G33">+F18-B18</f>
        <v>-345650179</v>
      </c>
    </row>
    <row r="19" spans="1:7" ht="15">
      <c r="A19" s="20" t="s">
        <v>240</v>
      </c>
      <c r="B19" s="83">
        <v>298313795</v>
      </c>
      <c r="C19" s="83">
        <v>-823217</v>
      </c>
      <c r="D19" s="129">
        <f t="shared" si="0"/>
        <v>297490578</v>
      </c>
      <c r="E19" s="83">
        <v>65910235</v>
      </c>
      <c r="F19" s="83">
        <v>65910235</v>
      </c>
      <c r="G19" s="83">
        <f t="shared" si="2"/>
        <v>-232403560</v>
      </c>
    </row>
    <row r="20" spans="1:7" ht="15">
      <c r="A20" s="20" t="s">
        <v>241</v>
      </c>
      <c r="B20" s="83">
        <v>0</v>
      </c>
      <c r="C20" s="83">
        <v>0</v>
      </c>
      <c r="D20" s="129">
        <f t="shared" si="0"/>
        <v>0</v>
      </c>
      <c r="E20" s="83">
        <v>0</v>
      </c>
      <c r="F20" s="83">
        <v>0</v>
      </c>
      <c r="G20" s="83">
        <f t="shared" si="2"/>
        <v>0</v>
      </c>
    </row>
    <row r="21" spans="1:7" ht="15">
      <c r="A21" s="20" t="s">
        <v>242</v>
      </c>
      <c r="B21" s="83">
        <v>2292321562</v>
      </c>
      <c r="C21" s="83">
        <v>-1</v>
      </c>
      <c r="D21" s="129">
        <f t="shared" si="0"/>
        <v>2292321561</v>
      </c>
      <c r="E21" s="83">
        <v>648019007</v>
      </c>
      <c r="F21" s="83">
        <v>648019007</v>
      </c>
      <c r="G21" s="83">
        <f t="shared" si="2"/>
        <v>-1644302555</v>
      </c>
    </row>
    <row r="22" spans="1:7" ht="15">
      <c r="A22" s="20" t="s">
        <v>243</v>
      </c>
      <c r="B22" s="83">
        <v>50770583</v>
      </c>
      <c r="C22" s="83">
        <v>-179403</v>
      </c>
      <c r="D22" s="129">
        <f t="shared" si="0"/>
        <v>50591180</v>
      </c>
      <c r="E22" s="83">
        <v>12614738</v>
      </c>
      <c r="F22" s="83">
        <v>12614738</v>
      </c>
      <c r="G22" s="83">
        <f t="shared" si="2"/>
        <v>-38155845</v>
      </c>
    </row>
    <row r="23" spans="1:7" ht="15">
      <c r="A23" s="20" t="s">
        <v>244</v>
      </c>
      <c r="B23" s="83">
        <v>0</v>
      </c>
      <c r="C23" s="83">
        <v>0</v>
      </c>
      <c r="D23" s="129">
        <f>+B23+C23</f>
        <v>0</v>
      </c>
      <c r="E23" s="83">
        <v>0</v>
      </c>
      <c r="F23" s="83">
        <v>0</v>
      </c>
      <c r="G23" s="83">
        <f t="shared" si="2"/>
        <v>0</v>
      </c>
    </row>
    <row r="24" spans="1:7" ht="15">
      <c r="A24" s="20" t="s">
        <v>245</v>
      </c>
      <c r="B24" s="83">
        <v>0</v>
      </c>
      <c r="C24" s="83">
        <v>0</v>
      </c>
      <c r="D24" s="129">
        <f t="shared" si="0"/>
        <v>0</v>
      </c>
      <c r="E24" s="83">
        <v>0</v>
      </c>
      <c r="F24" s="83">
        <v>0</v>
      </c>
      <c r="G24" s="83">
        <f t="shared" si="2"/>
        <v>0</v>
      </c>
    </row>
    <row r="25" spans="1:7" ht="15">
      <c r="A25" s="20" t="s">
        <v>246</v>
      </c>
      <c r="B25" s="83">
        <v>236313959</v>
      </c>
      <c r="C25" s="83">
        <v>1</v>
      </c>
      <c r="D25" s="129">
        <f t="shared" si="0"/>
        <v>236313960</v>
      </c>
      <c r="E25" s="83">
        <v>55708753</v>
      </c>
      <c r="F25" s="83">
        <v>55708753</v>
      </c>
      <c r="G25" s="83">
        <f t="shared" si="2"/>
        <v>-180605206</v>
      </c>
    </row>
    <row r="26" spans="1:7" ht="15">
      <c r="A26" s="20" t="s">
        <v>247</v>
      </c>
      <c r="B26" s="83">
        <v>664726967</v>
      </c>
      <c r="C26" s="83">
        <v>263472400</v>
      </c>
      <c r="D26" s="129">
        <f t="shared" si="0"/>
        <v>928199367</v>
      </c>
      <c r="E26" s="83">
        <v>216037745</v>
      </c>
      <c r="F26" s="83">
        <v>216037745</v>
      </c>
      <c r="G26" s="83">
        <f t="shared" si="2"/>
        <v>-448689222</v>
      </c>
    </row>
    <row r="27" spans="1:7" ht="15">
      <c r="A27" s="20" t="s">
        <v>248</v>
      </c>
      <c r="B27" s="83">
        <v>0</v>
      </c>
      <c r="C27" s="83">
        <v>289255</v>
      </c>
      <c r="D27" s="129">
        <f t="shared" si="0"/>
        <v>289255</v>
      </c>
      <c r="E27" s="83">
        <v>289255</v>
      </c>
      <c r="F27" s="83">
        <v>289255</v>
      </c>
      <c r="G27" s="83">
        <f t="shared" si="2"/>
        <v>289255</v>
      </c>
    </row>
    <row r="28" spans="1:7" ht="15">
      <c r="A28" s="113" t="s">
        <v>249</v>
      </c>
      <c r="B28" s="85">
        <f>SUM(B29:B33)</f>
        <v>158407831</v>
      </c>
      <c r="C28" s="85">
        <f>SUM(C29:C33)</f>
        <v>6441360</v>
      </c>
      <c r="D28" s="129">
        <f t="shared" si="0"/>
        <v>164849191</v>
      </c>
      <c r="E28" s="129">
        <f>SUM(E29:E33)</f>
        <v>40633176.27</v>
      </c>
      <c r="F28" s="85">
        <f>SUM(F29:F33)</f>
        <v>40633176.27</v>
      </c>
      <c r="G28" s="85">
        <f>SUM(G29:G33)</f>
        <v>-117774654.72999999</v>
      </c>
    </row>
    <row r="29" spans="1:7" ht="15">
      <c r="A29" s="20" t="s">
        <v>250</v>
      </c>
      <c r="B29" s="83">
        <v>0</v>
      </c>
      <c r="C29" s="83">
        <v>0</v>
      </c>
      <c r="D29" s="129">
        <f t="shared" si="0"/>
        <v>0</v>
      </c>
      <c r="E29" s="83">
        <v>0</v>
      </c>
      <c r="F29" s="83">
        <v>0</v>
      </c>
      <c r="G29" s="83">
        <f t="shared" si="2"/>
        <v>0</v>
      </c>
    </row>
    <row r="30" spans="1:7" ht="15">
      <c r="A30" s="20" t="s">
        <v>251</v>
      </c>
      <c r="B30" s="83">
        <v>16113728</v>
      </c>
      <c r="C30" s="83">
        <v>4</v>
      </c>
      <c r="D30" s="129">
        <f t="shared" si="0"/>
        <v>16113732</v>
      </c>
      <c r="E30" s="83">
        <v>4028433</v>
      </c>
      <c r="F30" s="83">
        <v>4028433</v>
      </c>
      <c r="G30" s="83">
        <f t="shared" si="2"/>
        <v>-12085295</v>
      </c>
    </row>
    <row r="31" spans="1:7" ht="15">
      <c r="A31" s="20" t="s">
        <v>252</v>
      </c>
      <c r="B31" s="83">
        <v>69654075</v>
      </c>
      <c r="C31" s="83">
        <v>6441356</v>
      </c>
      <c r="D31" s="129">
        <f t="shared" si="0"/>
        <v>76095431</v>
      </c>
      <c r="E31" s="83">
        <v>23064678</v>
      </c>
      <c r="F31" s="83">
        <v>23064678</v>
      </c>
      <c r="G31" s="83">
        <f t="shared" si="2"/>
        <v>-46589397</v>
      </c>
    </row>
    <row r="32" spans="1:7" ht="15">
      <c r="A32" s="20" t="s">
        <v>253</v>
      </c>
      <c r="B32" s="83">
        <v>9693792</v>
      </c>
      <c r="C32" s="83">
        <v>0</v>
      </c>
      <c r="D32" s="129">
        <f t="shared" si="0"/>
        <v>9693792</v>
      </c>
      <c r="E32" s="83">
        <v>2877345</v>
      </c>
      <c r="F32" s="83">
        <v>2877345</v>
      </c>
      <c r="G32" s="83">
        <f t="shared" si="2"/>
        <v>-6816447</v>
      </c>
    </row>
    <row r="33" spans="1:7" ht="15">
      <c r="A33" s="20" t="s">
        <v>254</v>
      </c>
      <c r="B33" s="83">
        <v>62946236</v>
      </c>
      <c r="C33" s="83">
        <v>0</v>
      </c>
      <c r="D33" s="129">
        <f t="shared" si="0"/>
        <v>62946236</v>
      </c>
      <c r="E33" s="83">
        <v>10662720.270000003</v>
      </c>
      <c r="F33" s="83">
        <v>10662720.270000003</v>
      </c>
      <c r="G33" s="83">
        <f t="shared" si="2"/>
        <v>-52283515.73</v>
      </c>
    </row>
    <row r="34" spans="1:7" ht="15">
      <c r="A34" s="113" t="s">
        <v>469</v>
      </c>
      <c r="B34" s="85">
        <v>0</v>
      </c>
      <c r="C34" s="85">
        <v>0</v>
      </c>
      <c r="D34" s="129">
        <f t="shared" si="0"/>
        <v>0</v>
      </c>
      <c r="E34" s="85">
        <v>0</v>
      </c>
      <c r="F34" s="85">
        <v>0</v>
      </c>
      <c r="G34" s="85">
        <f>F34-B34</f>
        <v>0</v>
      </c>
    </row>
    <row r="35" spans="1:7" ht="15">
      <c r="A35" s="113" t="s">
        <v>255</v>
      </c>
      <c r="B35" s="85">
        <v>0</v>
      </c>
      <c r="C35" s="129">
        <f>+C36</f>
        <v>220763</v>
      </c>
      <c r="D35" s="129">
        <f t="shared" si="0"/>
        <v>220763</v>
      </c>
      <c r="E35" s="129">
        <f>+E36</f>
        <v>220763</v>
      </c>
      <c r="F35" s="129">
        <f>+F36</f>
        <v>220763</v>
      </c>
      <c r="G35" s="85">
        <f>G36</f>
        <v>220763</v>
      </c>
    </row>
    <row r="36" spans="1:7" ht="15">
      <c r="A36" s="20" t="s">
        <v>256</v>
      </c>
      <c r="B36" s="83">
        <v>0</v>
      </c>
      <c r="C36" s="83">
        <v>220763</v>
      </c>
      <c r="D36" s="129">
        <f t="shared" si="0"/>
        <v>220763</v>
      </c>
      <c r="E36" s="83">
        <v>220763</v>
      </c>
      <c r="F36" s="83">
        <v>220763</v>
      </c>
      <c r="G36" s="83">
        <f>+F36-B36</f>
        <v>220763</v>
      </c>
    </row>
    <row r="37" spans="1:7" ht="15">
      <c r="A37" s="113" t="s">
        <v>257</v>
      </c>
      <c r="B37" s="85">
        <v>0</v>
      </c>
      <c r="C37" s="85">
        <v>0</v>
      </c>
      <c r="D37" s="129">
        <f t="shared" si="0"/>
        <v>0</v>
      </c>
      <c r="E37" s="85">
        <v>0</v>
      </c>
      <c r="F37" s="85">
        <v>0</v>
      </c>
      <c r="G37" s="85">
        <f>G38+G39</f>
        <v>0</v>
      </c>
    </row>
    <row r="38" spans="1:7" ht="15">
      <c r="A38" s="20" t="s">
        <v>258</v>
      </c>
      <c r="B38" s="83">
        <v>0</v>
      </c>
      <c r="C38" s="83">
        <v>0</v>
      </c>
      <c r="D38" s="129">
        <f t="shared" si="0"/>
        <v>0</v>
      </c>
      <c r="E38" s="83">
        <v>0</v>
      </c>
      <c r="F38" s="83">
        <v>0</v>
      </c>
      <c r="G38" s="83">
        <f>+F38-B38</f>
        <v>0</v>
      </c>
    </row>
    <row r="39" spans="1:7" ht="15">
      <c r="A39" s="20" t="s">
        <v>259</v>
      </c>
      <c r="B39" s="83">
        <v>0</v>
      </c>
      <c r="C39" s="83">
        <v>0</v>
      </c>
      <c r="D39" s="129">
        <f t="shared" si="0"/>
        <v>0</v>
      </c>
      <c r="E39" s="83">
        <v>0</v>
      </c>
      <c r="F39" s="83">
        <v>0</v>
      </c>
      <c r="G39" s="83">
        <f>+F39-B39</f>
        <v>0</v>
      </c>
    </row>
    <row r="40" spans="1:7" ht="15">
      <c r="A40" s="33"/>
      <c r="B40" s="83"/>
      <c r="C40" s="83"/>
      <c r="D40" s="83"/>
      <c r="E40" s="83"/>
      <c r="F40" s="83"/>
      <c r="G40" s="83"/>
    </row>
    <row r="41" spans="1:7" ht="15">
      <c r="A41" s="22" t="s">
        <v>260</v>
      </c>
      <c r="B41" s="85">
        <f aca="true" t="shared" si="3" ref="B41:G41">SUM(B9,B10,B11,B12,B13,B14,B15,B16,B28,B34,B35,B37)</f>
        <v>12560746811</v>
      </c>
      <c r="C41" s="85">
        <f>SUM(C9,C10,C11,C12,C13,C14,C15,C16,C28,C34,C35,C37)</f>
        <v>1299771325.29</v>
      </c>
      <c r="D41" s="85">
        <f t="shared" si="3"/>
        <v>13860518136.29</v>
      </c>
      <c r="E41" s="85">
        <f>SUM(E9,E10,E11,E12,E13,E14,E15,E16,E28,E34,E35,E37)</f>
        <v>4077741598.1699996</v>
      </c>
      <c r="F41" s="85">
        <f t="shared" si="3"/>
        <v>4077722711.1699996</v>
      </c>
      <c r="G41" s="85">
        <f t="shared" si="3"/>
        <v>-8483024099.83</v>
      </c>
    </row>
    <row r="42" spans="1:7" ht="15">
      <c r="A42" s="22" t="s">
        <v>261</v>
      </c>
      <c r="B42" s="96"/>
      <c r="C42" s="96"/>
      <c r="D42" s="96"/>
      <c r="E42" s="96"/>
      <c r="F42" s="96"/>
      <c r="G42" s="92">
        <f>IF(G41&gt;0,G41,0)</f>
        <v>0</v>
      </c>
    </row>
    <row r="43" spans="1:7" ht="15">
      <c r="A43" s="33"/>
      <c r="B43" s="84"/>
      <c r="C43" s="84"/>
      <c r="D43" s="84"/>
      <c r="E43" s="84"/>
      <c r="F43" s="84"/>
      <c r="G43" s="84"/>
    </row>
    <row r="44" spans="1:7" ht="15">
      <c r="A44" s="22" t="s">
        <v>262</v>
      </c>
      <c r="B44" s="84"/>
      <c r="C44" s="84"/>
      <c r="D44" s="84"/>
      <c r="E44" s="84"/>
      <c r="F44" s="84"/>
      <c r="G44" s="84"/>
    </row>
    <row r="45" spans="1:7" ht="15">
      <c r="A45" s="113" t="s">
        <v>263</v>
      </c>
      <c r="B45" s="129">
        <f>SUM(B46:B53)</f>
        <v>10625161041</v>
      </c>
      <c r="C45" s="129">
        <f>SUM(C46:C53)</f>
        <v>413127262</v>
      </c>
      <c r="D45" s="85">
        <f>SUM(D46:D53)</f>
        <v>11038288303</v>
      </c>
      <c r="E45" s="85">
        <f>SUM(E46:E53)</f>
        <v>2844717129.1000004</v>
      </c>
      <c r="F45" s="85">
        <f>SUM(F46:F53)</f>
        <v>2844717129.1000004</v>
      </c>
      <c r="G45" s="129">
        <f>+F45-B45</f>
        <v>-7780443911.9</v>
      </c>
    </row>
    <row r="46" spans="1:7" ht="15">
      <c r="A46" s="35" t="s">
        <v>264</v>
      </c>
      <c r="B46" s="83">
        <v>5149618919</v>
      </c>
      <c r="C46" s="83">
        <v>0</v>
      </c>
      <c r="D46" s="83">
        <f>+B46+C46</f>
        <v>5149618919</v>
      </c>
      <c r="E46" s="83">
        <v>1306598209.63</v>
      </c>
      <c r="F46" s="83">
        <v>1306598209.63</v>
      </c>
      <c r="G46" s="129">
        <f aca="true" t="shared" si="4" ref="G46:G75">+F46-B46</f>
        <v>-3843020709.37</v>
      </c>
    </row>
    <row r="47" spans="1:7" ht="15">
      <c r="A47" s="35" t="s">
        <v>265</v>
      </c>
      <c r="B47" s="83">
        <v>2060930170</v>
      </c>
      <c r="C47" s="83">
        <v>0</v>
      </c>
      <c r="D47" s="126">
        <f aca="true" t="shared" si="5" ref="D47:D58">+B47+C47</f>
        <v>2060930170</v>
      </c>
      <c r="E47" s="83">
        <v>497363196.47</v>
      </c>
      <c r="F47" s="83">
        <v>497363196.47</v>
      </c>
      <c r="G47" s="85">
        <f t="shared" si="4"/>
        <v>-1563566973.53</v>
      </c>
    </row>
    <row r="48" spans="1:7" ht="15">
      <c r="A48" s="35" t="s">
        <v>266</v>
      </c>
      <c r="B48" s="83">
        <v>1401841668</v>
      </c>
      <c r="C48" s="83">
        <v>0</v>
      </c>
      <c r="D48" s="126">
        <f t="shared" si="5"/>
        <v>1401841668</v>
      </c>
      <c r="E48" s="83">
        <v>420552501</v>
      </c>
      <c r="F48" s="83">
        <v>420552501</v>
      </c>
      <c r="G48" s="85">
        <f t="shared" si="4"/>
        <v>-981289167</v>
      </c>
    </row>
    <row r="49" spans="1:7" ht="30">
      <c r="A49" s="35" t="s">
        <v>267</v>
      </c>
      <c r="B49" s="83">
        <v>829263920</v>
      </c>
      <c r="C49" s="83">
        <v>-4316388</v>
      </c>
      <c r="D49" s="126">
        <f t="shared" si="5"/>
        <v>824947532</v>
      </c>
      <c r="E49" s="83">
        <v>206236884</v>
      </c>
      <c r="F49" s="83">
        <v>206236884</v>
      </c>
      <c r="G49" s="85">
        <f t="shared" si="4"/>
        <v>-623027036</v>
      </c>
    </row>
    <row r="50" spans="1:7" ht="15">
      <c r="A50" s="35" t="s">
        <v>268</v>
      </c>
      <c r="B50" s="83">
        <v>552507802</v>
      </c>
      <c r="C50" s="83">
        <v>393256383</v>
      </c>
      <c r="D50" s="126">
        <f t="shared" si="5"/>
        <v>945764185</v>
      </c>
      <c r="E50" s="83">
        <v>236441045</v>
      </c>
      <c r="F50" s="83">
        <v>236441045</v>
      </c>
      <c r="G50" s="85">
        <f t="shared" si="4"/>
        <v>-316066757</v>
      </c>
    </row>
    <row r="51" spans="1:7" ht="15">
      <c r="A51" s="35" t="s">
        <v>269</v>
      </c>
      <c r="B51" s="83">
        <v>128844804</v>
      </c>
      <c r="C51" s="83">
        <v>0</v>
      </c>
      <c r="D51" s="126">
        <f t="shared" si="5"/>
        <v>128844804</v>
      </c>
      <c r="E51" s="83">
        <v>35152736</v>
      </c>
      <c r="F51" s="83">
        <v>35152736</v>
      </c>
      <c r="G51" s="85">
        <f t="shared" si="4"/>
        <v>-93692068</v>
      </c>
    </row>
    <row r="52" spans="1:7" ht="29.25" customHeight="1">
      <c r="A52" s="36" t="s">
        <v>270</v>
      </c>
      <c r="B52" s="83">
        <v>196132775</v>
      </c>
      <c r="C52" s="83">
        <v>19613278</v>
      </c>
      <c r="D52" s="126">
        <f t="shared" si="5"/>
        <v>215746053</v>
      </c>
      <c r="E52" s="83">
        <v>64723815</v>
      </c>
      <c r="F52" s="83">
        <v>64723815</v>
      </c>
      <c r="G52" s="85">
        <f t="shared" si="4"/>
        <v>-131408960</v>
      </c>
    </row>
    <row r="53" spans="1:7" ht="27.75" customHeight="1">
      <c r="A53" s="35" t="s">
        <v>271</v>
      </c>
      <c r="B53" s="83">
        <v>306020983</v>
      </c>
      <c r="C53" s="83">
        <v>4573989</v>
      </c>
      <c r="D53" s="126">
        <f t="shared" si="5"/>
        <v>310594972</v>
      </c>
      <c r="E53" s="83">
        <v>77648742</v>
      </c>
      <c r="F53" s="83">
        <v>77648742</v>
      </c>
      <c r="G53" s="85">
        <f t="shared" si="4"/>
        <v>-228372241</v>
      </c>
    </row>
    <row r="54" spans="1:7" ht="15">
      <c r="A54" s="113" t="s">
        <v>272</v>
      </c>
      <c r="B54" s="129">
        <f>SUM(B55:B58)</f>
        <v>1150471624</v>
      </c>
      <c r="C54" s="129">
        <f>SUM(C55:C58)</f>
        <v>617208014.88</v>
      </c>
      <c r="D54" s="85">
        <f>+B54+C54</f>
        <v>1767679638.88</v>
      </c>
      <c r="E54" s="85">
        <f>SUM(E55:E58)</f>
        <v>478288159.88</v>
      </c>
      <c r="F54" s="85">
        <f>SUM(F55:F58)</f>
        <v>478288159.88</v>
      </c>
      <c r="G54" s="85">
        <f t="shared" si="4"/>
        <v>-672183464.12</v>
      </c>
    </row>
    <row r="55" spans="1:7" ht="15">
      <c r="A55" s="36" t="s">
        <v>273</v>
      </c>
      <c r="B55" s="83">
        <v>0</v>
      </c>
      <c r="C55" s="83">
        <v>0</v>
      </c>
      <c r="D55" s="126">
        <f t="shared" si="5"/>
        <v>0</v>
      </c>
      <c r="E55" s="83">
        <v>0</v>
      </c>
      <c r="F55" s="83">
        <v>0</v>
      </c>
      <c r="G55" s="85">
        <f t="shared" si="4"/>
        <v>0</v>
      </c>
    </row>
    <row r="56" spans="1:7" ht="15">
      <c r="A56" s="35" t="s">
        <v>274</v>
      </c>
      <c r="B56" s="83">
        <v>1150471624</v>
      </c>
      <c r="C56" s="83">
        <v>617208014.88</v>
      </c>
      <c r="D56" s="126">
        <f t="shared" si="5"/>
        <v>1767679638.88</v>
      </c>
      <c r="E56" s="83">
        <v>478288159.88</v>
      </c>
      <c r="F56" s="83">
        <v>478288159.88</v>
      </c>
      <c r="G56" s="85">
        <f t="shared" si="4"/>
        <v>-672183464.12</v>
      </c>
    </row>
    <row r="57" spans="1:7" ht="15">
      <c r="A57" s="35" t="s">
        <v>275</v>
      </c>
      <c r="B57" s="83">
        <v>0</v>
      </c>
      <c r="C57" s="83">
        <v>0</v>
      </c>
      <c r="D57" s="126">
        <f t="shared" si="5"/>
        <v>0</v>
      </c>
      <c r="E57" s="83">
        <v>0</v>
      </c>
      <c r="F57" s="83">
        <v>0</v>
      </c>
      <c r="G57" s="85">
        <f t="shared" si="4"/>
        <v>0</v>
      </c>
    </row>
    <row r="58" spans="1:7" ht="15">
      <c r="A58" s="36" t="s">
        <v>276</v>
      </c>
      <c r="B58" s="83">
        <v>0</v>
      </c>
      <c r="C58" s="83"/>
      <c r="D58" s="126">
        <f t="shared" si="5"/>
        <v>0</v>
      </c>
      <c r="E58" s="83"/>
      <c r="F58" s="83"/>
      <c r="G58" s="85">
        <f t="shared" si="4"/>
        <v>0</v>
      </c>
    </row>
    <row r="59" spans="1:7" ht="15">
      <c r="A59" s="113" t="s">
        <v>277</v>
      </c>
      <c r="B59" s="85">
        <f>SUM(B60:B61)</f>
        <v>490339445</v>
      </c>
      <c r="C59" s="85">
        <f>SUM(C60:C61)</f>
        <v>0</v>
      </c>
      <c r="D59" s="85">
        <f>SUM(D60:D61)</f>
        <v>490339445</v>
      </c>
      <c r="E59" s="85">
        <f>SUM(E60:E61)</f>
        <v>135803577</v>
      </c>
      <c r="F59" s="85">
        <f>+F60+F61</f>
        <v>135803577</v>
      </c>
      <c r="G59" s="85">
        <f t="shared" si="4"/>
        <v>-354535868</v>
      </c>
    </row>
    <row r="60" spans="1:7" ht="15">
      <c r="A60" s="35" t="s">
        <v>278</v>
      </c>
      <c r="B60" s="83">
        <v>490339445</v>
      </c>
      <c r="C60" s="83">
        <v>0</v>
      </c>
      <c r="D60" s="83">
        <f>+B60+C60</f>
        <v>490339445</v>
      </c>
      <c r="E60" s="83">
        <v>135803577</v>
      </c>
      <c r="F60" s="83">
        <v>135803577</v>
      </c>
      <c r="G60" s="85">
        <f t="shared" si="4"/>
        <v>-354535868</v>
      </c>
    </row>
    <row r="61" spans="1:7" ht="15">
      <c r="A61" s="35" t="s">
        <v>279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5">
        <f t="shared" si="4"/>
        <v>0</v>
      </c>
    </row>
    <row r="62" spans="1:7" ht="15">
      <c r="A62" s="113" t="s">
        <v>471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f t="shared" si="4"/>
        <v>0</v>
      </c>
    </row>
    <row r="63" spans="1:7" ht="15">
      <c r="A63" s="113" t="s">
        <v>280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 t="shared" si="4"/>
        <v>0</v>
      </c>
    </row>
    <row r="64" spans="1:7" ht="15">
      <c r="A64" s="33"/>
      <c r="B64" s="84"/>
      <c r="C64" s="84">
        <v>0</v>
      </c>
      <c r="D64" s="84"/>
      <c r="E64" s="84"/>
      <c r="F64" s="84"/>
      <c r="G64" s="85"/>
    </row>
    <row r="65" spans="1:7" ht="15">
      <c r="A65" s="22" t="s">
        <v>281</v>
      </c>
      <c r="B65" s="85">
        <f>B45+B54+B59+B62+B63</f>
        <v>12265972110</v>
      </c>
      <c r="C65" s="129">
        <f>C45+C54+C59+C62+C63</f>
        <v>1030335276.88</v>
      </c>
      <c r="D65" s="85">
        <f>D45+D54+D59+D62+D63</f>
        <v>13296307386.880001</v>
      </c>
      <c r="E65" s="85">
        <f>E45+E54+E59+E62+E63</f>
        <v>3458808865.9800005</v>
      </c>
      <c r="F65" s="85">
        <f>F45+F54+F59+F62+F63</f>
        <v>3458808865.9800005</v>
      </c>
      <c r="G65" s="85">
        <f>+F65-B65</f>
        <v>-8807163244.02</v>
      </c>
    </row>
    <row r="66" spans="1:7" ht="15">
      <c r="A66" s="33"/>
      <c r="B66" s="84"/>
      <c r="C66" s="84"/>
      <c r="D66" s="84"/>
      <c r="E66" s="84"/>
      <c r="F66" s="84"/>
      <c r="G66" s="85"/>
    </row>
    <row r="67" spans="1:7" ht="15">
      <c r="A67" s="22" t="s">
        <v>282</v>
      </c>
      <c r="B67" s="85">
        <f>B68</f>
        <v>0</v>
      </c>
      <c r="C67" s="85">
        <f>C68</f>
        <v>0</v>
      </c>
      <c r="D67" s="85">
        <f>D68</f>
        <v>0</v>
      </c>
      <c r="E67" s="85">
        <f>E68</f>
        <v>0</v>
      </c>
      <c r="F67" s="85">
        <f>F68</f>
        <v>0</v>
      </c>
      <c r="G67" s="85">
        <f t="shared" si="4"/>
        <v>0</v>
      </c>
    </row>
    <row r="68" spans="1:7" ht="15">
      <c r="A68" s="19" t="s">
        <v>283</v>
      </c>
      <c r="B68" s="83">
        <v>0</v>
      </c>
      <c r="C68" s="83">
        <v>0</v>
      </c>
      <c r="D68" s="83">
        <f>+B68+C68</f>
        <v>0</v>
      </c>
      <c r="E68" s="83">
        <v>0</v>
      </c>
      <c r="F68" s="83">
        <v>0</v>
      </c>
      <c r="G68" s="85">
        <f t="shared" si="4"/>
        <v>0</v>
      </c>
    </row>
    <row r="69" spans="1:7" ht="15">
      <c r="A69" s="33"/>
      <c r="B69" s="84"/>
      <c r="C69" s="84"/>
      <c r="D69" s="84"/>
      <c r="E69" s="84"/>
      <c r="F69" s="84"/>
      <c r="G69" s="85"/>
    </row>
    <row r="70" spans="1:7" ht="15">
      <c r="A70" s="22" t="s">
        <v>284</v>
      </c>
      <c r="B70" s="85">
        <f>B41+B65+B67</f>
        <v>24826718921</v>
      </c>
      <c r="C70" s="85">
        <f>C41+C65+C67</f>
        <v>2330106602.17</v>
      </c>
      <c r="D70" s="85">
        <f>D41+D65+D67</f>
        <v>27156825523.170002</v>
      </c>
      <c r="E70" s="85">
        <f>E41+E65+E67</f>
        <v>7536550464.15</v>
      </c>
      <c r="F70" s="85">
        <f>F41+F65+F67</f>
        <v>7536531577.15</v>
      </c>
      <c r="G70" s="85">
        <f t="shared" si="4"/>
        <v>-17290187343.85</v>
      </c>
    </row>
    <row r="71" spans="1:7" ht="15">
      <c r="A71" s="33"/>
      <c r="B71" s="84"/>
      <c r="C71" s="84"/>
      <c r="D71" s="84"/>
      <c r="E71" s="84"/>
      <c r="F71" s="84"/>
      <c r="G71" s="85">
        <f t="shared" si="4"/>
        <v>0</v>
      </c>
    </row>
    <row r="72" spans="1:7" ht="15">
      <c r="A72" s="22" t="s">
        <v>285</v>
      </c>
      <c r="B72" s="84"/>
      <c r="C72" s="84"/>
      <c r="D72" s="84"/>
      <c r="E72" s="84"/>
      <c r="F72" s="84"/>
      <c r="G72" s="85">
        <f t="shared" si="4"/>
        <v>0</v>
      </c>
    </row>
    <row r="73" spans="1:7" ht="15">
      <c r="A73" s="42" t="s">
        <v>286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5">
        <f t="shared" si="4"/>
        <v>0</v>
      </c>
    </row>
    <row r="74" spans="1:7" ht="30">
      <c r="A74" s="42" t="s">
        <v>287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5">
        <f t="shared" si="4"/>
        <v>0</v>
      </c>
    </row>
    <row r="75" spans="1:7" ht="15">
      <c r="A75" s="43" t="s">
        <v>288</v>
      </c>
      <c r="B75" s="85">
        <f>B73+B74</f>
        <v>0</v>
      </c>
      <c r="C75" s="85">
        <f>C73+C74</f>
        <v>0</v>
      </c>
      <c r="D75" s="85">
        <f>D73+D74</f>
        <v>0</v>
      </c>
      <c r="E75" s="85">
        <f>E73+E74</f>
        <v>0</v>
      </c>
      <c r="F75" s="85">
        <f>F73+F74</f>
        <v>0</v>
      </c>
      <c r="G75" s="85">
        <f t="shared" si="4"/>
        <v>0</v>
      </c>
    </row>
    <row r="76" spans="1:7" ht="15">
      <c r="A76" s="34"/>
      <c r="B76" s="41"/>
      <c r="C76" s="41"/>
      <c r="D76" s="41"/>
      <c r="E76" s="41"/>
      <c r="F76" s="41"/>
      <c r="G76" s="139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B9:F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4" r:id="rId1"/>
  <ignoredErrors>
    <ignoredError sqref="B41:C41 B65 B67:F67 B70:C70 B75:F75 G35:G36 G38:G39 G41:G42 D68 G9:G15 G17:G27 G29:G33 D65:G65 D41:E41 F41 F59 G47:G54 G55:G64 G68:G76 E70:F70 D70 D45 D46:D53 D55:D58 G66:G67 B16" unlockedFormula="1"/>
    <ignoredError sqref="G40 G37 G34 G28 G16 D60 D54 E45:F45 E54:F54 C59 F16 F28 B28:C28 B59 E59 D28 D59" formula="1" unlockedFormula="1"/>
    <ignoredError sqref="C54 E16 E28 B45" formulaRange="1"/>
    <ignoredError sqref="D35 D16" formula="1"/>
    <ignoredError sqref="E45:F45 E54:F54 C59 F16 F28 B28:C28 B59 E59" formulaRange="1" unlockedFormula="1"/>
    <ignoredError sqref="D28" formula="1" formulaRange="1"/>
    <ignoredError sqref="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1">
      <pane xSplit="1" topLeftCell="B1" activePane="topRight" state="frozen"/>
      <selection pane="topLeft" activeCell="A22" sqref="A22"/>
      <selection pane="topRight" activeCell="G158" sqref="G158"/>
    </sheetView>
  </sheetViews>
  <sheetFormatPr defaultColWidth="0.9921875" defaultRowHeight="15" zeroHeight="1"/>
  <cols>
    <col min="1" max="1" width="99.28125" style="0" customWidth="1"/>
    <col min="2" max="2" width="19.421875" style="0" customWidth="1"/>
    <col min="3" max="3" width="18.8515625" style="0" customWidth="1"/>
    <col min="4" max="4" width="19.28125" style="0" customWidth="1"/>
    <col min="5" max="5" width="19.140625" style="0" customWidth="1"/>
    <col min="6" max="6" width="19.28125" style="0" customWidth="1"/>
    <col min="7" max="7" width="17.57421875" style="0" customWidth="1"/>
    <col min="8" max="255" width="11.421875" style="0" hidden="1" customWidth="1"/>
  </cols>
  <sheetData>
    <row r="1" spans="1:7" ht="21">
      <c r="A1" s="164" t="s">
        <v>290</v>
      </c>
      <c r="B1" s="161"/>
      <c r="C1" s="161"/>
      <c r="D1" s="161"/>
      <c r="E1" s="161"/>
      <c r="F1" s="161"/>
      <c r="G1" s="161"/>
    </row>
    <row r="2" spans="1:7" ht="15">
      <c r="A2" s="165" t="s">
        <v>289</v>
      </c>
      <c r="B2" s="165"/>
      <c r="C2" s="165"/>
      <c r="D2" s="165"/>
      <c r="E2" s="165"/>
      <c r="F2" s="165"/>
      <c r="G2" s="165"/>
    </row>
    <row r="3" spans="1:7" ht="15">
      <c r="A3" s="166" t="s">
        <v>291</v>
      </c>
      <c r="B3" s="166"/>
      <c r="C3" s="166"/>
      <c r="D3" s="166"/>
      <c r="E3" s="166"/>
      <c r="F3" s="166"/>
      <c r="G3" s="166"/>
    </row>
    <row r="4" spans="1:7" ht="15">
      <c r="A4" s="166" t="s">
        <v>292</v>
      </c>
      <c r="B4" s="166"/>
      <c r="C4" s="166"/>
      <c r="D4" s="166"/>
      <c r="E4" s="166"/>
      <c r="F4" s="166"/>
      <c r="G4" s="166"/>
    </row>
    <row r="5" spans="1:7" ht="15">
      <c r="A5" s="148" t="s">
        <v>480</v>
      </c>
      <c r="B5" s="149"/>
      <c r="C5" s="149"/>
      <c r="D5" s="149"/>
      <c r="E5" s="149"/>
      <c r="F5" s="149"/>
      <c r="G5" s="150"/>
    </row>
    <row r="6" spans="1:7" ht="15">
      <c r="A6" s="159" t="s">
        <v>2</v>
      </c>
      <c r="B6" s="159"/>
      <c r="C6" s="159"/>
      <c r="D6" s="159"/>
      <c r="E6" s="159"/>
      <c r="F6" s="159"/>
      <c r="G6" s="159"/>
    </row>
    <row r="7" spans="1:7" ht="15">
      <c r="A7" s="162" t="s">
        <v>4</v>
      </c>
      <c r="B7" s="162" t="s">
        <v>293</v>
      </c>
      <c r="C7" s="162"/>
      <c r="D7" s="162"/>
      <c r="E7" s="162"/>
      <c r="F7" s="162"/>
      <c r="G7" s="163" t="s">
        <v>294</v>
      </c>
    </row>
    <row r="8" spans="1:7" ht="30">
      <c r="A8" s="162"/>
      <c r="B8" s="6" t="s">
        <v>295</v>
      </c>
      <c r="C8" s="6" t="s">
        <v>296</v>
      </c>
      <c r="D8" s="6" t="s">
        <v>297</v>
      </c>
      <c r="E8" s="6" t="s">
        <v>182</v>
      </c>
      <c r="F8" s="6" t="s">
        <v>298</v>
      </c>
      <c r="G8" s="162"/>
    </row>
    <row r="9" spans="1:7" ht="15">
      <c r="A9" s="18" t="s">
        <v>299</v>
      </c>
      <c r="B9" s="85">
        <f aca="true" t="shared" si="0" ref="B9:G9">SUM(B10,B18,B28,B38,B48,B58,B62,B70,B74)</f>
        <v>12560746811</v>
      </c>
      <c r="C9" s="85">
        <f t="shared" si="0"/>
        <v>201933156.36</v>
      </c>
      <c r="D9" s="85">
        <f t="shared" si="0"/>
        <v>12762679967.36</v>
      </c>
      <c r="E9" s="85">
        <f t="shared" si="0"/>
        <v>2635488228.21</v>
      </c>
      <c r="F9" s="85">
        <f t="shared" si="0"/>
        <v>2621098843.65</v>
      </c>
      <c r="G9" s="85">
        <f t="shared" si="0"/>
        <v>10127191739.15</v>
      </c>
    </row>
    <row r="10" spans="1:7" ht="15">
      <c r="A10" s="19" t="s">
        <v>300</v>
      </c>
      <c r="B10" s="83">
        <f aca="true" t="shared" si="1" ref="B10:G10">SUM(B11:B17)</f>
        <v>2376043892</v>
      </c>
      <c r="C10" s="130">
        <f>SUM(C11:C17)</f>
        <v>5405317.3</v>
      </c>
      <c r="D10" s="83">
        <f t="shared" si="1"/>
        <v>2381449209.3</v>
      </c>
      <c r="E10" s="83">
        <f t="shared" si="1"/>
        <v>475341938</v>
      </c>
      <c r="F10" s="130">
        <f t="shared" si="1"/>
        <v>475341938</v>
      </c>
      <c r="G10" s="83">
        <f t="shared" si="1"/>
        <v>1906107271.3000002</v>
      </c>
    </row>
    <row r="11" spans="1:7" ht="15">
      <c r="A11" s="20" t="s">
        <v>301</v>
      </c>
      <c r="B11" s="83">
        <v>1175608765</v>
      </c>
      <c r="C11" s="83">
        <v>-6167734.59</v>
      </c>
      <c r="D11" s="83">
        <v>1169441030.41</v>
      </c>
      <c r="E11" s="83">
        <v>283655712.57</v>
      </c>
      <c r="F11" s="126">
        <v>283655712.57</v>
      </c>
      <c r="G11" s="83">
        <f aca="true" t="shared" si="2" ref="G11:G17">D11-E11</f>
        <v>885785317.8400002</v>
      </c>
    </row>
    <row r="12" spans="1:7" ht="15">
      <c r="A12" s="20" t="s">
        <v>302</v>
      </c>
      <c r="B12" s="83">
        <v>72737786</v>
      </c>
      <c r="C12" s="83">
        <v>4348495.65</v>
      </c>
      <c r="D12" s="83">
        <v>77086281.65</v>
      </c>
      <c r="E12" s="83">
        <v>17810977.85</v>
      </c>
      <c r="F12" s="126">
        <v>17810977.85</v>
      </c>
      <c r="G12" s="83">
        <f>D12-E12</f>
        <v>59275303.800000004</v>
      </c>
    </row>
    <row r="13" spans="1:7" ht="15">
      <c r="A13" s="20" t="s">
        <v>303</v>
      </c>
      <c r="B13" s="83">
        <v>563291191</v>
      </c>
      <c r="C13" s="83">
        <v>1408883.76</v>
      </c>
      <c r="D13" s="83">
        <v>564700074.76</v>
      </c>
      <c r="E13" s="83">
        <v>56083429.26</v>
      </c>
      <c r="F13" s="126">
        <v>56083429.26</v>
      </c>
      <c r="G13" s="83">
        <f t="shared" si="2"/>
        <v>508616645.5</v>
      </c>
    </row>
    <row r="14" spans="1:7" ht="15">
      <c r="A14" s="20" t="s">
        <v>304</v>
      </c>
      <c r="B14" s="83">
        <v>559237007</v>
      </c>
      <c r="C14" s="83">
        <v>-38745.91</v>
      </c>
      <c r="D14" s="83">
        <v>559198261.09</v>
      </c>
      <c r="E14" s="83">
        <v>111937399.93</v>
      </c>
      <c r="F14" s="126">
        <v>111937399.93</v>
      </c>
      <c r="G14" s="83">
        <f t="shared" si="2"/>
        <v>447260861.16</v>
      </c>
    </row>
    <row r="15" spans="1:7" ht="15">
      <c r="A15" s="20" t="s">
        <v>305</v>
      </c>
      <c r="B15" s="83">
        <v>0</v>
      </c>
      <c r="C15" s="83">
        <v>5854418.39</v>
      </c>
      <c r="D15" s="83">
        <v>5854418.39</v>
      </c>
      <c r="E15" s="83">
        <v>5854418.39</v>
      </c>
      <c r="F15" s="126">
        <v>5854418.39</v>
      </c>
      <c r="G15" s="83">
        <f t="shared" si="2"/>
        <v>0</v>
      </c>
    </row>
    <row r="16" spans="1:7" ht="15">
      <c r="A16" s="20" t="s">
        <v>306</v>
      </c>
      <c r="B16" s="83">
        <v>5169143</v>
      </c>
      <c r="C16" s="83">
        <v>0</v>
      </c>
      <c r="D16" s="83">
        <v>5169143</v>
      </c>
      <c r="E16" s="83">
        <v>0</v>
      </c>
      <c r="F16" s="83">
        <v>0</v>
      </c>
      <c r="G16" s="83">
        <f t="shared" si="2"/>
        <v>5169143</v>
      </c>
    </row>
    <row r="17" spans="1:7" ht="15">
      <c r="A17" s="20" t="s">
        <v>307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2"/>
        <v>0</v>
      </c>
    </row>
    <row r="18" spans="1:7" ht="15">
      <c r="A18" s="19" t="s">
        <v>308</v>
      </c>
      <c r="B18" s="83">
        <f aca="true" t="shared" si="3" ref="B18:G18">SUM(B19:B27)</f>
        <v>411825261</v>
      </c>
      <c r="C18" s="83">
        <f t="shared" si="3"/>
        <v>136208.25</v>
      </c>
      <c r="D18" s="83">
        <f t="shared" si="3"/>
        <v>411961469.24999994</v>
      </c>
      <c r="E18" s="83">
        <f t="shared" si="3"/>
        <v>56159677.17</v>
      </c>
      <c r="F18" s="83">
        <f t="shared" si="3"/>
        <v>56159677.17</v>
      </c>
      <c r="G18" s="83">
        <f t="shared" si="3"/>
        <v>355801792.08</v>
      </c>
    </row>
    <row r="19" spans="1:7" ht="15">
      <c r="A19" s="20" t="s">
        <v>309</v>
      </c>
      <c r="B19" s="83">
        <v>183058219</v>
      </c>
      <c r="C19" s="83">
        <v>-16413395.86</v>
      </c>
      <c r="D19" s="83">
        <v>166644823.14</v>
      </c>
      <c r="E19" s="83">
        <v>36484975.45</v>
      </c>
      <c r="F19" s="126">
        <v>36484975.45</v>
      </c>
      <c r="G19" s="83">
        <f>D19-E19</f>
        <v>130159847.68999998</v>
      </c>
    </row>
    <row r="20" spans="1:7" ht="15">
      <c r="A20" s="20" t="s">
        <v>310</v>
      </c>
      <c r="B20" s="83">
        <v>50131188</v>
      </c>
      <c r="C20" s="83">
        <v>358421.83</v>
      </c>
      <c r="D20" s="83">
        <v>50489609.83</v>
      </c>
      <c r="E20" s="83">
        <v>8683822.3</v>
      </c>
      <c r="F20" s="126">
        <v>8683822.3</v>
      </c>
      <c r="G20" s="83">
        <f aca="true" t="shared" si="4" ref="G20:G27">D20-E20</f>
        <v>41805787.53</v>
      </c>
    </row>
    <row r="21" spans="1:7" ht="15">
      <c r="A21" s="20" t="s">
        <v>311</v>
      </c>
      <c r="B21" s="83">
        <v>6000</v>
      </c>
      <c r="C21" s="83">
        <v>603258.96</v>
      </c>
      <c r="D21" s="83">
        <v>609258.96</v>
      </c>
      <c r="E21" s="83">
        <v>376938</v>
      </c>
      <c r="F21" s="126">
        <v>376938</v>
      </c>
      <c r="G21" s="83">
        <f t="shared" si="4"/>
        <v>232320.95999999996</v>
      </c>
    </row>
    <row r="22" spans="1:7" ht="15">
      <c r="A22" s="20" t="s">
        <v>312</v>
      </c>
      <c r="B22" s="83">
        <v>4426475</v>
      </c>
      <c r="C22" s="83">
        <v>4210704.57</v>
      </c>
      <c r="D22" s="83">
        <v>8637179.57</v>
      </c>
      <c r="E22" s="83">
        <v>943934.74</v>
      </c>
      <c r="F22" s="126">
        <v>943934.74</v>
      </c>
      <c r="G22" s="83">
        <f t="shared" si="4"/>
        <v>7693244.83</v>
      </c>
    </row>
    <row r="23" spans="1:7" ht="15">
      <c r="A23" s="20" t="s">
        <v>313</v>
      </c>
      <c r="B23" s="83">
        <v>50237375</v>
      </c>
      <c r="C23" s="83">
        <v>-195813.88</v>
      </c>
      <c r="D23" s="83">
        <v>50041561.12</v>
      </c>
      <c r="E23" s="83">
        <v>4370926.19</v>
      </c>
      <c r="F23" s="126">
        <v>4370926.19</v>
      </c>
      <c r="G23" s="83">
        <f t="shared" si="4"/>
        <v>45670634.93</v>
      </c>
    </row>
    <row r="24" spans="1:7" ht="15">
      <c r="A24" s="20" t="s">
        <v>314</v>
      </c>
      <c r="B24" s="83">
        <v>86637273</v>
      </c>
      <c r="C24" s="83">
        <v>7493256.65</v>
      </c>
      <c r="D24" s="83">
        <v>94130529.65</v>
      </c>
      <c r="E24" s="83">
        <v>1112015.67</v>
      </c>
      <c r="F24" s="126">
        <v>1112015.67</v>
      </c>
      <c r="G24" s="83">
        <f t="shared" si="4"/>
        <v>93018513.98</v>
      </c>
    </row>
    <row r="25" spans="1:7" ht="15">
      <c r="A25" s="20" t="s">
        <v>315</v>
      </c>
      <c r="B25" s="83">
        <v>25148926</v>
      </c>
      <c r="C25" s="83">
        <v>1541154.78</v>
      </c>
      <c r="D25" s="83">
        <v>26690080.78</v>
      </c>
      <c r="E25" s="83">
        <v>2254667.7</v>
      </c>
      <c r="F25" s="126">
        <v>2254667.7</v>
      </c>
      <c r="G25" s="83">
        <f t="shared" si="4"/>
        <v>24435413.080000002</v>
      </c>
    </row>
    <row r="26" spans="1:7" ht="15">
      <c r="A26" s="20" t="s">
        <v>316</v>
      </c>
      <c r="B26" s="83">
        <v>418628</v>
      </c>
      <c r="C26" s="83">
        <v>9494</v>
      </c>
      <c r="D26" s="83">
        <v>428122</v>
      </c>
      <c r="E26" s="83">
        <v>31494</v>
      </c>
      <c r="F26" s="126">
        <v>31494</v>
      </c>
      <c r="G26" s="83">
        <f t="shared" si="4"/>
        <v>396628</v>
      </c>
    </row>
    <row r="27" spans="1:7" ht="15">
      <c r="A27" s="20" t="s">
        <v>317</v>
      </c>
      <c r="B27" s="83">
        <v>11761177</v>
      </c>
      <c r="C27" s="83">
        <v>2529127.2</v>
      </c>
      <c r="D27" s="83">
        <v>14290304.2</v>
      </c>
      <c r="E27" s="83">
        <v>1900903.12</v>
      </c>
      <c r="F27" s="126">
        <v>1900903.12</v>
      </c>
      <c r="G27" s="83">
        <f t="shared" si="4"/>
        <v>12389401.079999998</v>
      </c>
    </row>
    <row r="28" spans="1:7" ht="15">
      <c r="A28" s="19" t="s">
        <v>318</v>
      </c>
      <c r="B28" s="83">
        <f aca="true" t="shared" si="5" ref="B28:G28">SUM(B29:B37)</f>
        <v>1002060065</v>
      </c>
      <c r="C28" s="83">
        <f t="shared" si="5"/>
        <v>41647465.42000001</v>
      </c>
      <c r="D28" s="83">
        <f t="shared" si="5"/>
        <v>1043707530.42</v>
      </c>
      <c r="E28" s="83">
        <f t="shared" si="5"/>
        <v>130731686.5</v>
      </c>
      <c r="F28" s="83">
        <f t="shared" si="5"/>
        <v>126195584.53</v>
      </c>
      <c r="G28" s="83">
        <f t="shared" si="5"/>
        <v>912975843.9200001</v>
      </c>
    </row>
    <row r="29" spans="1:7" ht="15">
      <c r="A29" s="20" t="s">
        <v>319</v>
      </c>
      <c r="B29" s="83">
        <v>68901371</v>
      </c>
      <c r="C29" s="83">
        <v>1487930.83</v>
      </c>
      <c r="D29" s="83">
        <v>70389301.83</v>
      </c>
      <c r="E29" s="83">
        <v>16684253.22</v>
      </c>
      <c r="F29" s="126">
        <v>16684253.22</v>
      </c>
      <c r="G29" s="83">
        <f>D29-E29</f>
        <v>53705048.61</v>
      </c>
    </row>
    <row r="30" spans="1:7" ht="15">
      <c r="A30" s="20" t="s">
        <v>320</v>
      </c>
      <c r="B30" s="83">
        <v>162648136</v>
      </c>
      <c r="C30" s="83">
        <v>8737808</v>
      </c>
      <c r="D30" s="83">
        <v>171385944</v>
      </c>
      <c r="E30" s="83">
        <v>11467308.98</v>
      </c>
      <c r="F30" s="126">
        <v>11467308.98</v>
      </c>
      <c r="G30" s="83">
        <f aca="true" t="shared" si="6" ref="G30:G37">D30-E30</f>
        <v>159918635.02</v>
      </c>
    </row>
    <row r="31" spans="1:7" ht="15">
      <c r="A31" s="20" t="s">
        <v>321</v>
      </c>
      <c r="B31" s="83">
        <v>176880822</v>
      </c>
      <c r="C31" s="83">
        <v>28226942.19</v>
      </c>
      <c r="D31" s="83">
        <v>205107764.19</v>
      </c>
      <c r="E31" s="83">
        <v>32551071.59</v>
      </c>
      <c r="F31" s="126">
        <v>32551071.59</v>
      </c>
      <c r="G31" s="83">
        <f t="shared" si="6"/>
        <v>172556692.6</v>
      </c>
    </row>
    <row r="32" spans="1:7" ht="15">
      <c r="A32" s="20" t="s">
        <v>322</v>
      </c>
      <c r="B32" s="83">
        <v>64589098</v>
      </c>
      <c r="C32" s="83">
        <v>567999.22</v>
      </c>
      <c r="D32" s="83">
        <v>65157097.22</v>
      </c>
      <c r="E32" s="83">
        <v>10937325.35</v>
      </c>
      <c r="F32" s="126">
        <v>10937325.35</v>
      </c>
      <c r="G32" s="83">
        <f t="shared" si="6"/>
        <v>54219771.87</v>
      </c>
    </row>
    <row r="33" spans="1:7" ht="15">
      <c r="A33" s="20" t="s">
        <v>323</v>
      </c>
      <c r="B33" s="83">
        <v>134643970</v>
      </c>
      <c r="C33" s="83">
        <v>-7335473.36</v>
      </c>
      <c r="D33" s="83">
        <v>127308496.64</v>
      </c>
      <c r="E33" s="83">
        <v>3528040.05</v>
      </c>
      <c r="F33" s="126">
        <v>3528040.05</v>
      </c>
      <c r="G33" s="83">
        <f t="shared" si="6"/>
        <v>123780456.59</v>
      </c>
    </row>
    <row r="34" spans="1:7" ht="15">
      <c r="A34" s="20" t="s">
        <v>324</v>
      </c>
      <c r="B34" s="83">
        <v>85660565</v>
      </c>
      <c r="C34" s="83">
        <v>33536291.55</v>
      </c>
      <c r="D34" s="83">
        <v>119196856.55</v>
      </c>
      <c r="E34" s="83">
        <v>22507742.84</v>
      </c>
      <c r="F34" s="126">
        <v>22507742.84</v>
      </c>
      <c r="G34" s="83">
        <f t="shared" si="6"/>
        <v>96689113.71</v>
      </c>
    </row>
    <row r="35" spans="1:7" ht="15">
      <c r="A35" s="20" t="s">
        <v>325</v>
      </c>
      <c r="B35" s="83">
        <v>19233857</v>
      </c>
      <c r="C35" s="83">
        <v>1064357.87</v>
      </c>
      <c r="D35" s="83">
        <v>20298214.87</v>
      </c>
      <c r="E35" s="83">
        <v>3152799.47</v>
      </c>
      <c r="F35" s="126">
        <v>3152799.47</v>
      </c>
      <c r="G35" s="83">
        <f t="shared" si="6"/>
        <v>17145415.400000002</v>
      </c>
    </row>
    <row r="36" spans="1:7" ht="15">
      <c r="A36" s="20" t="s">
        <v>326</v>
      </c>
      <c r="B36" s="83">
        <v>122495899</v>
      </c>
      <c r="C36" s="83">
        <v>-25405882.47</v>
      </c>
      <c r="D36" s="83">
        <v>97090016.53</v>
      </c>
      <c r="E36" s="83">
        <v>7916979.39</v>
      </c>
      <c r="F36" s="126">
        <v>7916979.39</v>
      </c>
      <c r="G36" s="83">
        <f t="shared" si="6"/>
        <v>89173037.14</v>
      </c>
    </row>
    <row r="37" spans="1:7" ht="15">
      <c r="A37" s="20" t="s">
        <v>327</v>
      </c>
      <c r="B37" s="83">
        <v>167006347</v>
      </c>
      <c r="C37" s="83">
        <v>767491.59</v>
      </c>
      <c r="D37" s="83">
        <v>167773838.59</v>
      </c>
      <c r="E37" s="83">
        <v>21986165.61</v>
      </c>
      <c r="F37" s="126">
        <v>17450063.64</v>
      </c>
      <c r="G37" s="83">
        <f t="shared" si="6"/>
        <v>145787672.98000002</v>
      </c>
    </row>
    <row r="38" spans="1:7" ht="15">
      <c r="A38" s="19" t="s">
        <v>328</v>
      </c>
      <c r="B38" s="83">
        <f aca="true" t="shared" si="7" ref="B38:G38">SUM(B39:B47)</f>
        <v>4496446645</v>
      </c>
      <c r="C38" s="83">
        <f t="shared" si="7"/>
        <v>-37149902.32</v>
      </c>
      <c r="D38" s="83">
        <f t="shared" si="7"/>
        <v>4459296742.679999</v>
      </c>
      <c r="E38" s="83">
        <f t="shared" si="7"/>
        <v>954768045.12</v>
      </c>
      <c r="F38" s="83">
        <f t="shared" si="7"/>
        <v>953195635.09</v>
      </c>
      <c r="G38" s="83">
        <f t="shared" si="7"/>
        <v>3504528697.5600004</v>
      </c>
    </row>
    <row r="39" spans="1:7" ht="15">
      <c r="A39" s="20" t="s">
        <v>329</v>
      </c>
      <c r="B39" s="83">
        <v>897114549</v>
      </c>
      <c r="C39" s="83">
        <v>396058.3</v>
      </c>
      <c r="D39" s="83">
        <v>897510607.3</v>
      </c>
      <c r="E39" s="83">
        <v>210305534.31</v>
      </c>
      <c r="F39" s="126">
        <v>209584369.31</v>
      </c>
      <c r="G39" s="126">
        <f>D39-E39</f>
        <v>687205072.99</v>
      </c>
    </row>
    <row r="40" spans="1:7" ht="15">
      <c r="A40" s="20" t="s">
        <v>330</v>
      </c>
      <c r="B40" s="83">
        <v>2914436267</v>
      </c>
      <c r="C40" s="83">
        <v>12513336.98</v>
      </c>
      <c r="D40" s="83">
        <v>2926949603.98</v>
      </c>
      <c r="E40" s="83">
        <v>707195033.66</v>
      </c>
      <c r="F40" s="126">
        <v>706343788.63</v>
      </c>
      <c r="G40" s="126">
        <f aca="true" t="shared" si="8" ref="G40:G47">D40-E40</f>
        <v>2219754570.32</v>
      </c>
    </row>
    <row r="41" spans="1:7" ht="15">
      <c r="A41" s="20" t="s">
        <v>331</v>
      </c>
      <c r="B41" s="83">
        <v>72000000</v>
      </c>
      <c r="C41" s="83">
        <v>-271381</v>
      </c>
      <c r="D41" s="83">
        <v>71728619</v>
      </c>
      <c r="E41" s="83">
        <v>0</v>
      </c>
      <c r="F41" s="83">
        <v>0</v>
      </c>
      <c r="G41" s="126">
        <f t="shared" si="8"/>
        <v>71728619</v>
      </c>
    </row>
    <row r="42" spans="1:7" ht="15">
      <c r="A42" s="20" t="s">
        <v>332</v>
      </c>
      <c r="B42" s="83">
        <v>564750761</v>
      </c>
      <c r="C42" s="83">
        <v>-49151183</v>
      </c>
      <c r="D42" s="83">
        <v>515599578</v>
      </c>
      <c r="E42" s="83">
        <v>29334144.15</v>
      </c>
      <c r="F42" s="126">
        <v>29334144.15</v>
      </c>
      <c r="G42" s="126">
        <f t="shared" si="8"/>
        <v>486265433.85</v>
      </c>
    </row>
    <row r="43" spans="1:7" ht="15">
      <c r="A43" s="20" t="s">
        <v>333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83">
        <f t="shared" si="8"/>
        <v>0</v>
      </c>
    </row>
    <row r="44" spans="1:7" ht="15">
      <c r="A44" s="20" t="s">
        <v>334</v>
      </c>
      <c r="B44" s="83">
        <v>47151000</v>
      </c>
      <c r="C44" s="83">
        <v>0</v>
      </c>
      <c r="D44" s="83">
        <v>47151000</v>
      </c>
      <c r="E44" s="83">
        <v>7933333</v>
      </c>
      <c r="F44" s="126">
        <v>7933333</v>
      </c>
      <c r="G44" s="126">
        <f t="shared" si="8"/>
        <v>39217667</v>
      </c>
    </row>
    <row r="45" spans="1:7" ht="15">
      <c r="A45" s="20" t="s">
        <v>335</v>
      </c>
      <c r="B45" s="83">
        <v>994068</v>
      </c>
      <c r="C45" s="83">
        <v>-636733.6</v>
      </c>
      <c r="D45" s="83">
        <v>357334.4</v>
      </c>
      <c r="E45" s="83">
        <v>0</v>
      </c>
      <c r="F45" s="83">
        <v>0</v>
      </c>
      <c r="G45" s="83">
        <f t="shared" si="8"/>
        <v>357334.4</v>
      </c>
    </row>
    <row r="46" spans="1:7" ht="15">
      <c r="A46" s="20" t="s">
        <v>336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8"/>
        <v>0</v>
      </c>
    </row>
    <row r="47" spans="1:7" ht="15">
      <c r="A47" s="20" t="s">
        <v>337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f t="shared" si="8"/>
        <v>0</v>
      </c>
    </row>
    <row r="48" spans="1:7" ht="15">
      <c r="A48" s="19" t="s">
        <v>338</v>
      </c>
      <c r="B48" s="83">
        <f aca="true" t="shared" si="9" ref="B48:G48">SUM(B49:B57)</f>
        <v>124008542</v>
      </c>
      <c r="C48" s="83">
        <f t="shared" si="9"/>
        <v>3407154.98</v>
      </c>
      <c r="D48" s="83">
        <f t="shared" si="9"/>
        <v>127415696.98</v>
      </c>
      <c r="E48" s="83">
        <f t="shared" si="9"/>
        <v>1996618.35</v>
      </c>
      <c r="F48" s="83">
        <f t="shared" si="9"/>
        <v>1996618.35</v>
      </c>
      <c r="G48" s="83">
        <f t="shared" si="9"/>
        <v>125419078.63</v>
      </c>
    </row>
    <row r="49" spans="1:7" ht="15">
      <c r="A49" s="20" t="s">
        <v>339</v>
      </c>
      <c r="B49" s="83">
        <v>20978212</v>
      </c>
      <c r="C49" s="83">
        <v>3503683.92</v>
      </c>
      <c r="D49" s="83">
        <v>24481895.92</v>
      </c>
      <c r="E49" s="83">
        <v>1210248.56</v>
      </c>
      <c r="F49" s="126">
        <v>1210248.56</v>
      </c>
      <c r="G49" s="83">
        <f>D49-E49</f>
        <v>23271647.360000003</v>
      </c>
    </row>
    <row r="50" spans="1:7" ht="15">
      <c r="A50" s="20" t="s">
        <v>340</v>
      </c>
      <c r="B50" s="83">
        <v>472986</v>
      </c>
      <c r="C50" s="83">
        <v>152131.48</v>
      </c>
      <c r="D50" s="83">
        <v>625117.48</v>
      </c>
      <c r="E50" s="83">
        <v>103131.48</v>
      </c>
      <c r="F50" s="126">
        <v>103131.48</v>
      </c>
      <c r="G50" s="83">
        <f aca="true" t="shared" si="10" ref="G50:G57">D50-E50</f>
        <v>521986</v>
      </c>
    </row>
    <row r="51" spans="1:7" ht="15">
      <c r="A51" s="20" t="s">
        <v>341</v>
      </c>
      <c r="B51" s="83">
        <v>0</v>
      </c>
      <c r="C51" s="83">
        <v>23278.48</v>
      </c>
      <c r="D51" s="83">
        <v>23278.48</v>
      </c>
      <c r="E51" s="83">
        <v>23278.48</v>
      </c>
      <c r="F51" s="126">
        <v>23278.48</v>
      </c>
      <c r="G51" s="83">
        <f t="shared" si="10"/>
        <v>0</v>
      </c>
    </row>
    <row r="52" spans="1:7" ht="15">
      <c r="A52" s="20" t="s">
        <v>342</v>
      </c>
      <c r="B52" s="83">
        <v>22164698</v>
      </c>
      <c r="C52" s="83">
        <v>-678886.84</v>
      </c>
      <c r="D52" s="83">
        <v>21485811.16</v>
      </c>
      <c r="E52" s="83">
        <v>635274.16</v>
      </c>
      <c r="F52" s="126">
        <v>635274.16</v>
      </c>
      <c r="G52" s="83">
        <f t="shared" si="10"/>
        <v>20850537</v>
      </c>
    </row>
    <row r="53" spans="1:7" ht="15">
      <c r="A53" s="20" t="s">
        <v>343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f t="shared" si="10"/>
        <v>0</v>
      </c>
    </row>
    <row r="54" spans="1:7" ht="15">
      <c r="A54" s="20" t="s">
        <v>344</v>
      </c>
      <c r="B54" s="83">
        <v>80257646</v>
      </c>
      <c r="C54" s="83">
        <v>441947.94</v>
      </c>
      <c r="D54" s="83">
        <v>80699593.94</v>
      </c>
      <c r="E54" s="83">
        <v>24685.67</v>
      </c>
      <c r="F54" s="126">
        <v>24685.67</v>
      </c>
      <c r="G54" s="83">
        <f t="shared" si="10"/>
        <v>80674908.27</v>
      </c>
    </row>
    <row r="55" spans="1:7" ht="15">
      <c r="A55" s="20" t="s">
        <v>345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0"/>
        <v>0</v>
      </c>
    </row>
    <row r="56" spans="1:7" ht="15">
      <c r="A56" s="20" t="s">
        <v>346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f t="shared" si="10"/>
        <v>0</v>
      </c>
    </row>
    <row r="57" spans="1:7" ht="15">
      <c r="A57" s="20" t="s">
        <v>347</v>
      </c>
      <c r="B57" s="83">
        <v>135000</v>
      </c>
      <c r="C57" s="83">
        <v>-35000</v>
      </c>
      <c r="D57" s="83">
        <v>100000</v>
      </c>
      <c r="E57" s="83">
        <v>0</v>
      </c>
      <c r="F57" s="83">
        <v>0</v>
      </c>
      <c r="G57" s="83">
        <f t="shared" si="10"/>
        <v>100000</v>
      </c>
    </row>
    <row r="58" spans="1:7" ht="15">
      <c r="A58" s="19" t="s">
        <v>348</v>
      </c>
      <c r="B58" s="83">
        <f aca="true" t="shared" si="11" ref="B58:G58">SUM(B59:B61)</f>
        <v>191612691</v>
      </c>
      <c r="C58" s="83">
        <f t="shared" si="11"/>
        <v>79504796.28999999</v>
      </c>
      <c r="D58" s="130">
        <f>SUM(D59:D61)</f>
        <v>271117487.29</v>
      </c>
      <c r="E58" s="83">
        <f t="shared" si="11"/>
        <v>35386932.63999999</v>
      </c>
      <c r="F58" s="126">
        <f t="shared" si="11"/>
        <v>30811030.080000002</v>
      </c>
      <c r="G58" s="83">
        <f t="shared" si="11"/>
        <v>235730554.65</v>
      </c>
    </row>
    <row r="59" spans="1:7" ht="15">
      <c r="A59" s="20" t="s">
        <v>349</v>
      </c>
      <c r="B59" s="83">
        <v>191612691</v>
      </c>
      <c r="C59" s="83">
        <v>77063716.69</v>
      </c>
      <c r="D59" s="83">
        <v>268676407.69</v>
      </c>
      <c r="E59" s="83">
        <v>33607542.66</v>
      </c>
      <c r="F59" s="126">
        <v>29031640.1</v>
      </c>
      <c r="G59" s="83">
        <f>D59-E59</f>
        <v>235068865.03</v>
      </c>
    </row>
    <row r="60" spans="1:7" ht="15">
      <c r="A60" s="20" t="s">
        <v>350</v>
      </c>
      <c r="B60" s="83">
        <v>0</v>
      </c>
      <c r="C60" s="83">
        <v>2441079.6</v>
      </c>
      <c r="D60" s="83">
        <v>2441079.6</v>
      </c>
      <c r="E60" s="83">
        <v>1779389.98</v>
      </c>
      <c r="F60" s="126">
        <v>1779389.98</v>
      </c>
      <c r="G60" s="83">
        <f>D60-E60</f>
        <v>661689.6200000001</v>
      </c>
    </row>
    <row r="61" spans="1:7" ht="15">
      <c r="A61" s="20" t="s">
        <v>351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83">
        <f>D61-E61</f>
        <v>0</v>
      </c>
    </row>
    <row r="62" spans="1:7" ht="15">
      <c r="A62" s="19" t="s">
        <v>352</v>
      </c>
      <c r="B62" s="125">
        <f>SUM(B63:B67,B68:B69)</f>
        <v>217172982</v>
      </c>
      <c r="C62" s="125">
        <f>SUM(C63:C67,C68:C69)</f>
        <v>4110648.8099999987</v>
      </c>
      <c r="D62" s="126">
        <f>SUM(D63:D67,D68:D69)</f>
        <v>221283630.81</v>
      </c>
      <c r="E62" s="125">
        <f>SUM(E63:E67,E68:E69)</f>
        <v>18838353.86</v>
      </c>
      <c r="F62" s="83">
        <f>SUM(F63:F67,F68:F69)</f>
        <v>18838353.86</v>
      </c>
      <c r="G62" s="125">
        <f>D62-E62</f>
        <v>202445276.95</v>
      </c>
    </row>
    <row r="63" spans="1:7" ht="15">
      <c r="A63" s="20" t="s">
        <v>353</v>
      </c>
      <c r="B63" s="125">
        <v>0</v>
      </c>
      <c r="C63" s="125">
        <v>0</v>
      </c>
      <c r="D63" s="125">
        <v>0</v>
      </c>
      <c r="E63" s="125">
        <v>0</v>
      </c>
      <c r="F63" s="125">
        <v>0</v>
      </c>
      <c r="G63" s="83">
        <f>D63-E63</f>
        <v>0</v>
      </c>
    </row>
    <row r="64" spans="1:7" ht="15">
      <c r="A64" s="20" t="s">
        <v>354</v>
      </c>
      <c r="B64" s="125">
        <v>0</v>
      </c>
      <c r="C64" s="125">
        <v>0</v>
      </c>
      <c r="D64" s="125">
        <v>0</v>
      </c>
      <c r="E64" s="125">
        <v>0</v>
      </c>
      <c r="F64" s="125">
        <v>0</v>
      </c>
      <c r="G64" s="83">
        <f aca="true" t="shared" si="12" ref="G64:G69">D64-E64</f>
        <v>0</v>
      </c>
    </row>
    <row r="65" spans="1:7" ht="15">
      <c r="A65" s="20" t="s">
        <v>355</v>
      </c>
      <c r="B65" s="125">
        <v>0</v>
      </c>
      <c r="C65" s="125">
        <v>0</v>
      </c>
      <c r="D65" s="125">
        <v>0</v>
      </c>
      <c r="E65" s="125">
        <v>0</v>
      </c>
      <c r="F65" s="125">
        <v>0</v>
      </c>
      <c r="G65" s="83">
        <f t="shared" si="12"/>
        <v>0</v>
      </c>
    </row>
    <row r="66" spans="1:7" ht="15">
      <c r="A66" s="20" t="s">
        <v>356</v>
      </c>
      <c r="B66" s="125">
        <v>0</v>
      </c>
      <c r="C66" s="125">
        <v>0</v>
      </c>
      <c r="D66" s="125">
        <v>0</v>
      </c>
      <c r="E66" s="125">
        <v>0</v>
      </c>
      <c r="F66" s="125">
        <v>0</v>
      </c>
      <c r="G66" s="83">
        <f t="shared" si="12"/>
        <v>0</v>
      </c>
    </row>
    <row r="67" spans="1:7" ht="30">
      <c r="A67" s="35" t="s">
        <v>457</v>
      </c>
      <c r="B67" s="126">
        <v>0</v>
      </c>
      <c r="C67" s="126">
        <v>18838353.86</v>
      </c>
      <c r="D67" s="126">
        <v>18838353.86</v>
      </c>
      <c r="E67" s="126">
        <v>18838353.86</v>
      </c>
      <c r="F67" s="126">
        <v>18838353.86</v>
      </c>
      <c r="G67" s="126">
        <f t="shared" si="12"/>
        <v>0</v>
      </c>
    </row>
    <row r="68" spans="1:7" ht="15">
      <c r="A68" s="20" t="s">
        <v>359</v>
      </c>
      <c r="B68" s="125">
        <v>0</v>
      </c>
      <c r="C68" s="125">
        <v>0</v>
      </c>
      <c r="D68" s="125">
        <v>0</v>
      </c>
      <c r="E68" s="125">
        <v>0</v>
      </c>
      <c r="F68" s="125">
        <v>0</v>
      </c>
      <c r="G68" s="83">
        <f t="shared" si="12"/>
        <v>0</v>
      </c>
    </row>
    <row r="69" spans="1:7" ht="15">
      <c r="A69" s="20" t="s">
        <v>360</v>
      </c>
      <c r="B69" s="83">
        <v>217172982</v>
      </c>
      <c r="C69" s="83">
        <v>-14727705.05</v>
      </c>
      <c r="D69" s="83">
        <v>202445276.95</v>
      </c>
      <c r="E69" s="83">
        <v>0</v>
      </c>
      <c r="F69" s="83">
        <v>0</v>
      </c>
      <c r="G69" s="83">
        <f t="shared" si="12"/>
        <v>202445276.95</v>
      </c>
    </row>
    <row r="70" spans="1:7" ht="15">
      <c r="A70" s="19" t="s">
        <v>361</v>
      </c>
      <c r="B70" s="83">
        <f aca="true" t="shared" si="13" ref="B70:G70">SUM(B71:B73)</f>
        <v>3332217890</v>
      </c>
      <c r="C70" s="83">
        <f t="shared" si="13"/>
        <v>104871467.63</v>
      </c>
      <c r="D70" s="83">
        <f t="shared" si="13"/>
        <v>3437089357.63</v>
      </c>
      <c r="E70" s="83">
        <f t="shared" si="13"/>
        <v>875434300.21</v>
      </c>
      <c r="F70" s="83">
        <f t="shared" si="13"/>
        <v>871729330.21</v>
      </c>
      <c r="G70" s="83">
        <f t="shared" si="13"/>
        <v>2561655057.42</v>
      </c>
    </row>
    <row r="71" spans="1:7" ht="15">
      <c r="A71" s="20" t="s">
        <v>362</v>
      </c>
      <c r="B71" s="83">
        <v>2909112498</v>
      </c>
      <c r="C71" s="83">
        <v>60696246.58</v>
      </c>
      <c r="D71" s="83">
        <v>2969808744.58</v>
      </c>
      <c r="E71" s="83">
        <v>776672565.62</v>
      </c>
      <c r="F71" s="126">
        <v>776672565.62</v>
      </c>
      <c r="G71" s="83">
        <f>D71-E71</f>
        <v>2193136178.96</v>
      </c>
    </row>
    <row r="72" spans="1:7" ht="15">
      <c r="A72" s="20" t="s">
        <v>363</v>
      </c>
      <c r="B72" s="83">
        <v>102959494</v>
      </c>
      <c r="C72" s="83">
        <v>-4406925</v>
      </c>
      <c r="D72" s="83">
        <v>98552569</v>
      </c>
      <c r="E72" s="83">
        <v>28899277</v>
      </c>
      <c r="F72" s="126">
        <v>28899277</v>
      </c>
      <c r="G72" s="83">
        <f>D72-E72</f>
        <v>69653292</v>
      </c>
    </row>
    <row r="73" spans="1:7" ht="15">
      <c r="A73" s="20" t="s">
        <v>364</v>
      </c>
      <c r="B73" s="83">
        <v>320145898</v>
      </c>
      <c r="C73" s="83">
        <v>48582146.05</v>
      </c>
      <c r="D73" s="83">
        <v>368728044.05</v>
      </c>
      <c r="E73" s="83">
        <v>69862457.59</v>
      </c>
      <c r="F73" s="126">
        <v>66157487.59</v>
      </c>
      <c r="G73" s="83">
        <f>D73-E73</f>
        <v>298865586.46000004</v>
      </c>
    </row>
    <row r="74" spans="1:7" ht="15">
      <c r="A74" s="19" t="s">
        <v>365</v>
      </c>
      <c r="B74" s="83">
        <f aca="true" t="shared" si="14" ref="B74:G74">SUM(B75:B81)</f>
        <v>409358843</v>
      </c>
      <c r="C74" s="83">
        <f>SUM(C75:C81)</f>
        <v>0</v>
      </c>
      <c r="D74" s="83">
        <f t="shared" si="14"/>
        <v>409358843</v>
      </c>
      <c r="E74" s="83">
        <f t="shared" si="14"/>
        <v>86830676.36</v>
      </c>
      <c r="F74" s="83">
        <f t="shared" si="14"/>
        <v>86830676.36</v>
      </c>
      <c r="G74" s="83">
        <f t="shared" si="14"/>
        <v>322528166.64</v>
      </c>
    </row>
    <row r="75" spans="1:7" ht="15">
      <c r="A75" s="20" t="s">
        <v>366</v>
      </c>
      <c r="B75" s="83">
        <v>57234000</v>
      </c>
      <c r="C75" s="83">
        <v>0</v>
      </c>
      <c r="D75" s="83">
        <v>57234000</v>
      </c>
      <c r="E75" s="83">
        <v>13547799.24</v>
      </c>
      <c r="F75" s="126">
        <v>13547799.24</v>
      </c>
      <c r="G75" s="83">
        <f>D75-E75</f>
        <v>43686200.76</v>
      </c>
    </row>
    <row r="76" spans="1:7" ht="15">
      <c r="A76" s="20" t="s">
        <v>367</v>
      </c>
      <c r="B76" s="83">
        <v>302124843</v>
      </c>
      <c r="C76" s="83">
        <v>0</v>
      </c>
      <c r="D76" s="83">
        <v>302124843</v>
      </c>
      <c r="E76" s="83">
        <v>73282877.12</v>
      </c>
      <c r="F76" s="126">
        <v>73282877.12</v>
      </c>
      <c r="G76" s="83">
        <f aca="true" t="shared" si="15" ref="G76:G81">D76-E76</f>
        <v>228841965.88</v>
      </c>
    </row>
    <row r="77" spans="1:7" ht="15">
      <c r="A77" s="20" t="s">
        <v>368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f t="shared" si="15"/>
        <v>0</v>
      </c>
    </row>
    <row r="78" spans="1:7" ht="15">
      <c r="A78" s="20" t="s">
        <v>369</v>
      </c>
      <c r="B78" s="83">
        <v>0</v>
      </c>
      <c r="C78" s="83">
        <v>0</v>
      </c>
      <c r="D78" s="83">
        <v>0</v>
      </c>
      <c r="E78" s="83">
        <v>0</v>
      </c>
      <c r="F78" s="83">
        <v>0</v>
      </c>
      <c r="G78" s="83">
        <f t="shared" si="15"/>
        <v>0</v>
      </c>
    </row>
    <row r="79" spans="1:7" ht="15">
      <c r="A79" s="20" t="s">
        <v>370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f t="shared" si="15"/>
        <v>0</v>
      </c>
    </row>
    <row r="80" spans="1:7" ht="15">
      <c r="A80" s="20" t="s">
        <v>371</v>
      </c>
      <c r="B80" s="83">
        <v>0</v>
      </c>
      <c r="C80" s="83">
        <v>0</v>
      </c>
      <c r="D80" s="83">
        <v>0</v>
      </c>
      <c r="E80" s="83">
        <v>0</v>
      </c>
      <c r="F80" s="83">
        <v>0</v>
      </c>
      <c r="G80" s="83">
        <f t="shared" si="15"/>
        <v>0</v>
      </c>
    </row>
    <row r="81" spans="1:7" ht="15">
      <c r="A81" s="20" t="s">
        <v>372</v>
      </c>
      <c r="B81" s="83">
        <v>50000000</v>
      </c>
      <c r="C81" s="83">
        <v>0</v>
      </c>
      <c r="D81" s="83">
        <v>50000000</v>
      </c>
      <c r="E81" s="83">
        <v>0</v>
      </c>
      <c r="F81" s="83">
        <v>0</v>
      </c>
      <c r="G81" s="83">
        <f t="shared" si="15"/>
        <v>50000000</v>
      </c>
    </row>
    <row r="82" spans="1:7" ht="15">
      <c r="A82" s="21"/>
      <c r="B82" s="84"/>
      <c r="C82" s="84"/>
      <c r="D82" s="84"/>
      <c r="E82" s="84"/>
      <c r="F82" s="84"/>
      <c r="G82" s="84"/>
    </row>
    <row r="83" spans="1:7" ht="15">
      <c r="A83" s="22" t="s">
        <v>373</v>
      </c>
      <c r="B83" s="85">
        <f aca="true" t="shared" si="16" ref="B83:G83">SUM(B84,B92,B102,B112,B122,B132,B136,B145,B149)</f>
        <v>12265972110</v>
      </c>
      <c r="C83" s="85">
        <f t="shared" si="16"/>
        <v>899345980.6700001</v>
      </c>
      <c r="D83" s="85">
        <f>SUM(D84,D92,D102,D112,D122,D132,D136,D145,D149)</f>
        <v>13165318090.669998</v>
      </c>
      <c r="E83" s="85">
        <f t="shared" si="16"/>
        <v>3210484294.83</v>
      </c>
      <c r="F83" s="85">
        <f t="shared" si="16"/>
        <v>3210484294.83</v>
      </c>
      <c r="G83" s="85">
        <f t="shared" si="16"/>
        <v>9954833795.84</v>
      </c>
    </row>
    <row r="84" spans="1:7" ht="15">
      <c r="A84" s="19" t="s">
        <v>300</v>
      </c>
      <c r="B84" s="83">
        <f aca="true" t="shared" si="17" ref="B84:G84">SUM(B85:B91)</f>
        <v>5018053722</v>
      </c>
      <c r="C84" s="83">
        <f t="shared" si="17"/>
        <v>0</v>
      </c>
      <c r="D84" s="83">
        <f t="shared" si="17"/>
        <v>5018053722</v>
      </c>
      <c r="E84" s="83">
        <f t="shared" si="17"/>
        <v>1271887740.6299999</v>
      </c>
      <c r="F84" s="83">
        <f t="shared" si="17"/>
        <v>1271887740.6299999</v>
      </c>
      <c r="G84" s="83">
        <f t="shared" si="17"/>
        <v>3746165981.3700004</v>
      </c>
    </row>
    <row r="85" spans="1:7" ht="15">
      <c r="A85" s="20" t="s">
        <v>301</v>
      </c>
      <c r="B85" s="83">
        <v>2945241017</v>
      </c>
      <c r="C85" s="83">
        <v>-17964164</v>
      </c>
      <c r="D85" s="83">
        <v>2927276853</v>
      </c>
      <c r="E85" s="83">
        <v>767958065.1</v>
      </c>
      <c r="F85" s="126">
        <v>767958065.1</v>
      </c>
      <c r="G85" s="83">
        <f>D85-E85</f>
        <v>2159318787.9</v>
      </c>
    </row>
    <row r="86" spans="1:7" ht="15">
      <c r="A86" s="20" t="s">
        <v>302</v>
      </c>
      <c r="B86" s="83">
        <v>6641210</v>
      </c>
      <c r="C86" s="83">
        <v>305660</v>
      </c>
      <c r="D86" s="83">
        <v>6946870</v>
      </c>
      <c r="E86" s="83">
        <v>1690242.92</v>
      </c>
      <c r="F86" s="126">
        <v>1690242.92</v>
      </c>
      <c r="G86" s="83">
        <f aca="true" t="shared" si="18" ref="G86:G91">D86-E86</f>
        <v>5256627.08</v>
      </c>
    </row>
    <row r="87" spans="1:7" ht="15">
      <c r="A87" s="20" t="s">
        <v>303</v>
      </c>
      <c r="B87" s="83">
        <v>1003146033</v>
      </c>
      <c r="C87" s="83">
        <v>15258044</v>
      </c>
      <c r="D87" s="83">
        <v>1018404077</v>
      </c>
      <c r="E87" s="83">
        <v>296677661.72</v>
      </c>
      <c r="F87" s="126">
        <v>296677661.72</v>
      </c>
      <c r="G87" s="83">
        <f t="shared" si="18"/>
        <v>721726415.28</v>
      </c>
    </row>
    <row r="88" spans="1:7" ht="15">
      <c r="A88" s="20" t="s">
        <v>304</v>
      </c>
      <c r="B88" s="83">
        <v>473495366</v>
      </c>
      <c r="C88" s="83">
        <v>2576352</v>
      </c>
      <c r="D88" s="83">
        <v>476071718</v>
      </c>
      <c r="E88" s="83">
        <v>74552695.06</v>
      </c>
      <c r="F88" s="126">
        <v>74552695.06</v>
      </c>
      <c r="G88" s="83">
        <f t="shared" si="18"/>
        <v>401519022.94</v>
      </c>
    </row>
    <row r="89" spans="1:7" ht="15">
      <c r="A89" s="20" t="s">
        <v>305</v>
      </c>
      <c r="B89" s="83">
        <v>83883312</v>
      </c>
      <c r="C89" s="83">
        <v>21611062</v>
      </c>
      <c r="D89" s="83">
        <v>105494374</v>
      </c>
      <c r="E89" s="83">
        <v>46265446.6</v>
      </c>
      <c r="F89" s="126">
        <v>46265446.6</v>
      </c>
      <c r="G89" s="83">
        <f t="shared" si="18"/>
        <v>59228927.4</v>
      </c>
    </row>
    <row r="90" spans="1:7" ht="15">
      <c r="A90" s="20" t="s">
        <v>306</v>
      </c>
      <c r="B90" s="83">
        <v>0</v>
      </c>
      <c r="C90" s="83">
        <v>0</v>
      </c>
      <c r="D90" s="83">
        <v>0</v>
      </c>
      <c r="E90" s="83">
        <v>0</v>
      </c>
      <c r="F90" s="83">
        <v>0</v>
      </c>
      <c r="G90" s="83">
        <f t="shared" si="18"/>
        <v>0</v>
      </c>
    </row>
    <row r="91" spans="1:7" ht="15">
      <c r="A91" s="20" t="s">
        <v>307</v>
      </c>
      <c r="B91" s="83">
        <v>505646784</v>
      </c>
      <c r="C91" s="83">
        <v>-21786954</v>
      </c>
      <c r="D91" s="83">
        <v>483859830</v>
      </c>
      <c r="E91" s="83">
        <v>84743629.23</v>
      </c>
      <c r="F91" s="126">
        <v>84743629.23</v>
      </c>
      <c r="G91" s="83">
        <f t="shared" si="18"/>
        <v>399116200.77</v>
      </c>
    </row>
    <row r="92" spans="1:7" ht="15">
      <c r="A92" s="19" t="s">
        <v>308</v>
      </c>
      <c r="B92" s="83">
        <f aca="true" t="shared" si="19" ref="B92:G92">SUM(B93:B101)</f>
        <v>68329039</v>
      </c>
      <c r="C92" s="126">
        <f t="shared" si="19"/>
        <v>13960151.940000001</v>
      </c>
      <c r="D92" s="126">
        <f t="shared" si="19"/>
        <v>82289190.94</v>
      </c>
      <c r="E92" s="126">
        <f t="shared" si="19"/>
        <v>14874423.06</v>
      </c>
      <c r="F92" s="126">
        <f t="shared" si="19"/>
        <v>14874423.06</v>
      </c>
      <c r="G92" s="126">
        <f t="shared" si="19"/>
        <v>67414767.88000001</v>
      </c>
    </row>
    <row r="93" spans="1:7" ht="15">
      <c r="A93" s="20" t="s">
        <v>309</v>
      </c>
      <c r="B93" s="83">
        <v>17819794</v>
      </c>
      <c r="C93" s="83">
        <v>-9474916.13</v>
      </c>
      <c r="D93" s="83">
        <v>8344877.87</v>
      </c>
      <c r="E93" s="83">
        <v>131215.83</v>
      </c>
      <c r="F93" s="126">
        <v>131215.83</v>
      </c>
      <c r="G93" s="83">
        <f>D93-E93</f>
        <v>8213662.04</v>
      </c>
    </row>
    <row r="94" spans="1:7" ht="15">
      <c r="A94" s="20" t="s">
        <v>310</v>
      </c>
      <c r="B94" s="83">
        <v>11020868</v>
      </c>
      <c r="C94" s="83">
        <v>1150310.11</v>
      </c>
      <c r="D94" s="83">
        <v>12171178.11</v>
      </c>
      <c r="E94" s="83">
        <v>3054635.11</v>
      </c>
      <c r="F94" s="83">
        <v>3054635.11</v>
      </c>
      <c r="G94" s="126">
        <f aca="true" t="shared" si="20" ref="G94:G101">D94-E94</f>
        <v>9116543</v>
      </c>
    </row>
    <row r="95" spans="1:7" ht="15">
      <c r="A95" s="20" t="s">
        <v>311</v>
      </c>
      <c r="B95" s="83">
        <v>0</v>
      </c>
      <c r="C95" s="83">
        <v>0</v>
      </c>
      <c r="D95" s="83">
        <v>0</v>
      </c>
      <c r="E95" s="83">
        <v>0</v>
      </c>
      <c r="F95" s="83">
        <v>0</v>
      </c>
      <c r="G95" s="83">
        <f t="shared" si="20"/>
        <v>0</v>
      </c>
    </row>
    <row r="96" spans="1:7" ht="15">
      <c r="A96" s="20" t="s">
        <v>312</v>
      </c>
      <c r="B96" s="83">
        <v>314219</v>
      </c>
      <c r="C96" s="83">
        <v>272184</v>
      </c>
      <c r="D96" s="83">
        <v>586403</v>
      </c>
      <c r="E96" s="83">
        <v>688</v>
      </c>
      <c r="F96" s="126">
        <v>688</v>
      </c>
      <c r="G96" s="83">
        <f t="shared" si="20"/>
        <v>585715</v>
      </c>
    </row>
    <row r="97" spans="1:7" ht="15">
      <c r="A97" s="23" t="s">
        <v>313</v>
      </c>
      <c r="B97" s="83">
        <v>2626937</v>
      </c>
      <c r="C97" s="83">
        <v>-506737</v>
      </c>
      <c r="D97" s="83">
        <v>2120200</v>
      </c>
      <c r="E97" s="83">
        <v>62312.14</v>
      </c>
      <c r="F97" s="126">
        <v>62312.14</v>
      </c>
      <c r="G97" s="83">
        <f t="shared" si="20"/>
        <v>2057887.86</v>
      </c>
    </row>
    <row r="98" spans="1:7" ht="15">
      <c r="A98" s="20" t="s">
        <v>314</v>
      </c>
      <c r="B98" s="83">
        <v>3122562</v>
      </c>
      <c r="C98" s="83">
        <v>919732</v>
      </c>
      <c r="D98" s="83">
        <v>4042294</v>
      </c>
      <c r="E98" s="83">
        <v>898161.66</v>
      </c>
      <c r="F98" s="126">
        <v>898161.66</v>
      </c>
      <c r="G98" s="83">
        <f t="shared" si="20"/>
        <v>3144132.34</v>
      </c>
    </row>
    <row r="99" spans="1:7" ht="15">
      <c r="A99" s="20" t="s">
        <v>315</v>
      </c>
      <c r="B99" s="83">
        <v>29503300</v>
      </c>
      <c r="C99" s="83">
        <v>8624950.08</v>
      </c>
      <c r="D99" s="83">
        <v>38128250.08</v>
      </c>
      <c r="E99" s="83">
        <v>10298175.57</v>
      </c>
      <c r="F99" s="126">
        <v>10298175.57</v>
      </c>
      <c r="G99" s="83">
        <f t="shared" si="20"/>
        <v>27830074.509999998</v>
      </c>
    </row>
    <row r="100" spans="1:7" ht="15">
      <c r="A100" s="20" t="s">
        <v>316</v>
      </c>
      <c r="B100" s="83">
        <v>2715000</v>
      </c>
      <c r="C100" s="83">
        <v>12499939.81</v>
      </c>
      <c r="D100" s="83">
        <v>15214939.81</v>
      </c>
      <c r="E100" s="83">
        <v>209568.11</v>
      </c>
      <c r="F100" s="126">
        <v>209568.11</v>
      </c>
      <c r="G100" s="83">
        <f t="shared" si="20"/>
        <v>15005371.700000001</v>
      </c>
    </row>
    <row r="101" spans="1:7" ht="15">
      <c r="A101" s="20" t="s">
        <v>317</v>
      </c>
      <c r="B101" s="83">
        <v>1206359</v>
      </c>
      <c r="C101" s="83">
        <v>474689.07</v>
      </c>
      <c r="D101" s="83">
        <v>1681048.07</v>
      </c>
      <c r="E101" s="83">
        <v>219666.64</v>
      </c>
      <c r="F101" s="126">
        <v>219666.64</v>
      </c>
      <c r="G101" s="83">
        <f t="shared" si="20"/>
        <v>1461381.4300000002</v>
      </c>
    </row>
    <row r="102" spans="1:7" ht="15">
      <c r="A102" s="19" t="s">
        <v>318</v>
      </c>
      <c r="B102" s="83">
        <f aca="true" t="shared" si="21" ref="B102:G102">SUM(B103:B111)</f>
        <v>268162877</v>
      </c>
      <c r="C102" s="83">
        <f t="shared" si="21"/>
        <v>115430118.90000002</v>
      </c>
      <c r="D102" s="83">
        <f t="shared" si="21"/>
        <v>383592995.90000004</v>
      </c>
      <c r="E102" s="83">
        <f t="shared" si="21"/>
        <v>93717184.87000002</v>
      </c>
      <c r="F102" s="83">
        <f t="shared" si="21"/>
        <v>93717184.87000002</v>
      </c>
      <c r="G102" s="83">
        <f t="shared" si="21"/>
        <v>289875811.03</v>
      </c>
    </row>
    <row r="103" spans="1:7" ht="15">
      <c r="A103" s="20" t="s">
        <v>319</v>
      </c>
      <c r="B103" s="83">
        <v>68457006</v>
      </c>
      <c r="C103" s="83">
        <v>14711224.02</v>
      </c>
      <c r="D103" s="83">
        <v>83168230.02</v>
      </c>
      <c r="E103" s="83">
        <v>19244253.52</v>
      </c>
      <c r="F103" s="126">
        <v>19244253.52</v>
      </c>
      <c r="G103" s="83">
        <f>D103-E103</f>
        <v>63923976.5</v>
      </c>
    </row>
    <row r="104" spans="1:7" ht="15">
      <c r="A104" s="20" t="s">
        <v>320</v>
      </c>
      <c r="B104" s="83">
        <v>10324300</v>
      </c>
      <c r="C104" s="83">
        <v>293639.26</v>
      </c>
      <c r="D104" s="83">
        <v>10617939.26</v>
      </c>
      <c r="E104" s="83">
        <v>1877569.26</v>
      </c>
      <c r="F104" s="126">
        <v>1877569.26</v>
      </c>
      <c r="G104" s="83">
        <f aca="true" t="shared" si="22" ref="G104:G111">D104-E104</f>
        <v>8740370</v>
      </c>
    </row>
    <row r="105" spans="1:7" ht="15">
      <c r="A105" s="20" t="s">
        <v>321</v>
      </c>
      <c r="B105" s="83">
        <v>31499432</v>
      </c>
      <c r="C105" s="83">
        <v>-1342357.95</v>
      </c>
      <c r="D105" s="83">
        <v>30157074.05</v>
      </c>
      <c r="E105" s="83">
        <v>6764536.97</v>
      </c>
      <c r="F105" s="126">
        <v>6764536.97</v>
      </c>
      <c r="G105" s="83">
        <f t="shared" si="22"/>
        <v>23392537.080000002</v>
      </c>
    </row>
    <row r="106" spans="1:7" ht="15">
      <c r="A106" s="20" t="s">
        <v>322</v>
      </c>
      <c r="B106" s="83">
        <v>424350</v>
      </c>
      <c r="C106" s="83">
        <v>-83371.62</v>
      </c>
      <c r="D106" s="83">
        <v>340978.38</v>
      </c>
      <c r="E106" s="83">
        <v>164178.38</v>
      </c>
      <c r="F106" s="126">
        <v>164178.38</v>
      </c>
      <c r="G106" s="83">
        <f t="shared" si="22"/>
        <v>176800</v>
      </c>
    </row>
    <row r="107" spans="1:7" ht="15">
      <c r="A107" s="20" t="s">
        <v>323</v>
      </c>
      <c r="B107" s="83">
        <v>148420685</v>
      </c>
      <c r="C107" s="83">
        <v>103215778.66</v>
      </c>
      <c r="D107" s="83">
        <v>251636463.66</v>
      </c>
      <c r="E107" s="83">
        <v>65350410.21</v>
      </c>
      <c r="F107" s="126">
        <v>65350410.21</v>
      </c>
      <c r="G107" s="83">
        <f t="shared" si="22"/>
        <v>186286053.45</v>
      </c>
    </row>
    <row r="108" spans="1:7" ht="15">
      <c r="A108" s="20" t="s">
        <v>324</v>
      </c>
      <c r="B108" s="83">
        <v>662235</v>
      </c>
      <c r="C108" s="83">
        <v>-90014.88</v>
      </c>
      <c r="D108" s="83">
        <v>572220.12</v>
      </c>
      <c r="E108" s="83">
        <v>22285.12</v>
      </c>
      <c r="F108" s="126">
        <v>22285.12</v>
      </c>
      <c r="G108" s="83">
        <f t="shared" si="22"/>
        <v>549935</v>
      </c>
    </row>
    <row r="109" spans="1:7" ht="15">
      <c r="A109" s="20" t="s">
        <v>325</v>
      </c>
      <c r="B109" s="83">
        <v>3983601</v>
      </c>
      <c r="C109" s="83">
        <v>-610830.02</v>
      </c>
      <c r="D109" s="83">
        <v>3372770.98</v>
      </c>
      <c r="E109" s="83">
        <v>115617.98</v>
      </c>
      <c r="F109" s="126">
        <v>115617.98</v>
      </c>
      <c r="G109" s="83">
        <f t="shared" si="22"/>
        <v>3257153</v>
      </c>
    </row>
    <row r="110" spans="1:7" ht="15">
      <c r="A110" s="20" t="s">
        <v>326</v>
      </c>
      <c r="B110" s="83">
        <v>4114730</v>
      </c>
      <c r="C110" s="83">
        <v>-642493.57</v>
      </c>
      <c r="D110" s="83">
        <v>3472236.43</v>
      </c>
      <c r="E110" s="83">
        <v>117976.43</v>
      </c>
      <c r="F110" s="126">
        <v>117976.43</v>
      </c>
      <c r="G110" s="83">
        <f t="shared" si="22"/>
        <v>3354260</v>
      </c>
    </row>
    <row r="111" spans="1:7" ht="15">
      <c r="A111" s="20" t="s">
        <v>327</v>
      </c>
      <c r="B111" s="83">
        <v>276538</v>
      </c>
      <c r="C111" s="83">
        <v>-21455</v>
      </c>
      <c r="D111" s="83">
        <v>255083</v>
      </c>
      <c r="E111" s="83">
        <v>60357</v>
      </c>
      <c r="F111" s="126">
        <v>60357</v>
      </c>
      <c r="G111" s="83">
        <f t="shared" si="22"/>
        <v>194726</v>
      </c>
    </row>
    <row r="112" spans="1:7" ht="15">
      <c r="A112" s="19" t="s">
        <v>328</v>
      </c>
      <c r="B112" s="83">
        <f aca="true" t="shared" si="23" ref="B112:G112">SUM(B113:B121)</f>
        <v>4126946360</v>
      </c>
      <c r="C112" s="83">
        <f t="shared" si="23"/>
        <v>622757393.4200001</v>
      </c>
      <c r="D112" s="83">
        <f t="shared" si="23"/>
        <v>4749703753.42</v>
      </c>
      <c r="E112" s="83">
        <f t="shared" si="23"/>
        <v>1101446613.18</v>
      </c>
      <c r="F112" s="83">
        <f t="shared" si="23"/>
        <v>1101446613.18</v>
      </c>
      <c r="G112" s="83">
        <f t="shared" si="23"/>
        <v>3648257140.2400002</v>
      </c>
    </row>
    <row r="113" spans="1:7" ht="15">
      <c r="A113" s="20" t="s">
        <v>329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f>D113-E113</f>
        <v>0</v>
      </c>
    </row>
    <row r="114" spans="1:7" ht="15">
      <c r="A114" s="20" t="s">
        <v>330</v>
      </c>
      <c r="B114" s="83">
        <v>4124946360</v>
      </c>
      <c r="C114" s="83">
        <v>623201027.22</v>
      </c>
      <c r="D114" s="83">
        <v>4748147387.22</v>
      </c>
      <c r="E114" s="83">
        <v>1099890246.98</v>
      </c>
      <c r="F114" s="126">
        <v>1099890246.98</v>
      </c>
      <c r="G114" s="83">
        <f aca="true" t="shared" si="24" ref="G114:G121">D114-E114</f>
        <v>3648257140.2400002</v>
      </c>
    </row>
    <row r="115" spans="1:7" ht="15">
      <c r="A115" s="20" t="s">
        <v>331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f t="shared" si="24"/>
        <v>0</v>
      </c>
    </row>
    <row r="116" spans="1:7" ht="15">
      <c r="A116" s="121" t="s">
        <v>332</v>
      </c>
      <c r="B116" s="122">
        <v>2000000</v>
      </c>
      <c r="C116" s="122">
        <v>-443633.8</v>
      </c>
      <c r="D116" s="122">
        <v>1556366.2</v>
      </c>
      <c r="E116" s="122">
        <v>1556366.2</v>
      </c>
      <c r="F116" s="122">
        <v>1556366.2</v>
      </c>
      <c r="G116" s="122">
        <f t="shared" si="24"/>
        <v>0</v>
      </c>
    </row>
    <row r="117" spans="1:7" ht="15">
      <c r="A117" s="20" t="s">
        <v>333</v>
      </c>
      <c r="B117" s="83">
        <v>0</v>
      </c>
      <c r="C117" s="83">
        <v>0</v>
      </c>
      <c r="D117" s="83">
        <v>0</v>
      </c>
      <c r="E117" s="83">
        <v>0</v>
      </c>
      <c r="F117" s="83">
        <v>0</v>
      </c>
      <c r="G117" s="83">
        <f t="shared" si="24"/>
        <v>0</v>
      </c>
    </row>
    <row r="118" spans="1:7" ht="15">
      <c r="A118" s="20" t="s">
        <v>334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f t="shared" si="24"/>
        <v>0</v>
      </c>
    </row>
    <row r="119" spans="1:7" ht="15">
      <c r="A119" s="20" t="s">
        <v>335</v>
      </c>
      <c r="B119" s="83">
        <v>0</v>
      </c>
      <c r="C119" s="83">
        <v>0</v>
      </c>
      <c r="D119" s="83">
        <v>0</v>
      </c>
      <c r="E119" s="83">
        <v>0</v>
      </c>
      <c r="F119" s="83">
        <v>0</v>
      </c>
      <c r="G119" s="83">
        <f t="shared" si="24"/>
        <v>0</v>
      </c>
    </row>
    <row r="120" spans="1:7" ht="15">
      <c r="A120" s="20" t="s">
        <v>336</v>
      </c>
      <c r="B120" s="83">
        <v>0</v>
      </c>
      <c r="C120" s="83">
        <v>0</v>
      </c>
      <c r="D120" s="83">
        <v>0</v>
      </c>
      <c r="E120" s="83">
        <v>0</v>
      </c>
      <c r="F120" s="83">
        <v>0</v>
      </c>
      <c r="G120" s="83">
        <f t="shared" si="24"/>
        <v>0</v>
      </c>
    </row>
    <row r="121" spans="1:7" ht="15">
      <c r="A121" s="20" t="s">
        <v>337</v>
      </c>
      <c r="B121" s="83">
        <v>0</v>
      </c>
      <c r="C121" s="83">
        <v>0</v>
      </c>
      <c r="D121" s="83">
        <v>0</v>
      </c>
      <c r="E121" s="83">
        <v>0</v>
      </c>
      <c r="F121" s="83">
        <v>0</v>
      </c>
      <c r="G121" s="83">
        <f t="shared" si="24"/>
        <v>0</v>
      </c>
    </row>
    <row r="122" spans="1:7" ht="15">
      <c r="A122" s="19" t="s">
        <v>338</v>
      </c>
      <c r="B122" s="83">
        <f aca="true" t="shared" si="25" ref="B122:G122">SUM(B123:B131)</f>
        <v>114987018</v>
      </c>
      <c r="C122" s="83">
        <f t="shared" si="25"/>
        <v>41788368.9</v>
      </c>
      <c r="D122" s="83">
        <f t="shared" si="25"/>
        <v>156775386.89999998</v>
      </c>
      <c r="E122" s="83">
        <f t="shared" si="25"/>
        <v>20597485.080000002</v>
      </c>
      <c r="F122" s="83">
        <f t="shared" si="25"/>
        <v>20597485.080000002</v>
      </c>
      <c r="G122" s="83">
        <f t="shared" si="25"/>
        <v>136177901.82</v>
      </c>
    </row>
    <row r="123" spans="1:7" ht="15">
      <c r="A123" s="20" t="s">
        <v>339</v>
      </c>
      <c r="B123" s="83">
        <v>24126015</v>
      </c>
      <c r="C123" s="83">
        <v>-4490017.71</v>
      </c>
      <c r="D123" s="83">
        <v>19635997.29</v>
      </c>
      <c r="E123" s="83">
        <v>6870354.49</v>
      </c>
      <c r="F123" s="126">
        <v>6870354.49</v>
      </c>
      <c r="G123" s="83">
        <f>D123-E123</f>
        <v>12765642.799999999</v>
      </c>
    </row>
    <row r="124" spans="1:7" ht="15">
      <c r="A124" s="20" t="s">
        <v>340</v>
      </c>
      <c r="B124" s="83">
        <v>5289547</v>
      </c>
      <c r="C124" s="83">
        <v>2146020.8</v>
      </c>
      <c r="D124" s="83">
        <v>7435567.8</v>
      </c>
      <c r="E124" s="83">
        <v>492520.52</v>
      </c>
      <c r="F124" s="126">
        <v>492520.52</v>
      </c>
      <c r="G124" s="83">
        <f aca="true" t="shared" si="26" ref="G124:G131">D124-E124</f>
        <v>6943047.279999999</v>
      </c>
    </row>
    <row r="125" spans="1:7" ht="15">
      <c r="A125" s="20" t="s">
        <v>341</v>
      </c>
      <c r="B125" s="83">
        <v>202500</v>
      </c>
      <c r="C125" s="83">
        <v>50214.4</v>
      </c>
      <c r="D125" s="83">
        <v>252714.4</v>
      </c>
      <c r="E125" s="83">
        <v>152701.48</v>
      </c>
      <c r="F125" s="126">
        <v>152701.48</v>
      </c>
      <c r="G125" s="83">
        <f t="shared" si="26"/>
        <v>100012.91999999998</v>
      </c>
    </row>
    <row r="126" spans="1:7" ht="15">
      <c r="A126" s="20" t="s">
        <v>342</v>
      </c>
      <c r="B126" s="83">
        <v>38496900</v>
      </c>
      <c r="C126" s="83">
        <v>42463799.8</v>
      </c>
      <c r="D126" s="83">
        <v>80960699.8</v>
      </c>
      <c r="E126" s="83">
        <v>3524127.74</v>
      </c>
      <c r="F126" s="126">
        <v>3524127.74</v>
      </c>
      <c r="G126" s="83">
        <f t="shared" si="26"/>
        <v>77436572.06</v>
      </c>
    </row>
    <row r="127" spans="1:7" ht="15">
      <c r="A127" s="20" t="s">
        <v>343</v>
      </c>
      <c r="B127" s="83">
        <v>11905000</v>
      </c>
      <c r="C127" s="83">
        <v>-2686772</v>
      </c>
      <c r="D127" s="83">
        <v>9218228</v>
      </c>
      <c r="E127" s="83">
        <v>70528</v>
      </c>
      <c r="F127" s="126">
        <v>70528</v>
      </c>
      <c r="G127" s="83">
        <f t="shared" si="26"/>
        <v>9147700</v>
      </c>
    </row>
    <row r="128" spans="1:7" ht="15">
      <c r="A128" s="20" t="s">
        <v>344</v>
      </c>
      <c r="B128" s="83">
        <v>32289816</v>
      </c>
      <c r="C128" s="83">
        <v>-2902104.5</v>
      </c>
      <c r="D128" s="83">
        <v>29387711.5</v>
      </c>
      <c r="E128" s="83">
        <v>6377636.25</v>
      </c>
      <c r="F128" s="126">
        <v>6377636.25</v>
      </c>
      <c r="G128" s="83">
        <f t="shared" si="26"/>
        <v>23010075.25</v>
      </c>
    </row>
    <row r="129" spans="1:7" ht="15">
      <c r="A129" s="20" t="s">
        <v>345</v>
      </c>
      <c r="B129" s="83">
        <v>0</v>
      </c>
      <c r="C129" s="83">
        <v>0</v>
      </c>
      <c r="D129" s="83">
        <v>0</v>
      </c>
      <c r="E129" s="83">
        <v>0</v>
      </c>
      <c r="F129" s="83">
        <v>0</v>
      </c>
      <c r="G129" s="83">
        <f t="shared" si="26"/>
        <v>0</v>
      </c>
    </row>
    <row r="130" spans="1:7" ht="15">
      <c r="A130" s="20" t="s">
        <v>346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  <c r="G130" s="83">
        <f t="shared" si="26"/>
        <v>0</v>
      </c>
    </row>
    <row r="131" spans="1:7" ht="15">
      <c r="A131" s="20" t="s">
        <v>347</v>
      </c>
      <c r="B131" s="83">
        <v>2677240</v>
      </c>
      <c r="C131" s="83">
        <v>7207228.11</v>
      </c>
      <c r="D131" s="83">
        <v>9884468.11</v>
      </c>
      <c r="E131" s="83">
        <v>3109616.6</v>
      </c>
      <c r="F131" s="126">
        <v>3109616.6</v>
      </c>
      <c r="G131" s="83">
        <f t="shared" si="26"/>
        <v>6774851.51</v>
      </c>
    </row>
    <row r="132" spans="1:7" ht="15">
      <c r="A132" s="19" t="s">
        <v>348</v>
      </c>
      <c r="B132" s="83">
        <f aca="true" t="shared" si="27" ref="B132:G132">SUM(B133:B135)</f>
        <v>510243178</v>
      </c>
      <c r="C132" s="83">
        <f t="shared" si="27"/>
        <v>90702707.86</v>
      </c>
      <c r="D132" s="83">
        <f t="shared" si="27"/>
        <v>600945885.86</v>
      </c>
      <c r="E132" s="83">
        <f t="shared" si="27"/>
        <v>100180829.96</v>
      </c>
      <c r="F132" s="83">
        <f t="shared" si="27"/>
        <v>100180829.96</v>
      </c>
      <c r="G132" s="83">
        <f t="shared" si="27"/>
        <v>500765055.9</v>
      </c>
    </row>
    <row r="133" spans="1:7" ht="15">
      <c r="A133" s="20" t="s">
        <v>349</v>
      </c>
      <c r="B133" s="83">
        <v>462154752</v>
      </c>
      <c r="C133" s="83">
        <v>94497300.76</v>
      </c>
      <c r="D133" s="83">
        <v>556652052.76</v>
      </c>
      <c r="E133" s="83">
        <v>95886996.86</v>
      </c>
      <c r="F133" s="126">
        <v>95886996.86</v>
      </c>
      <c r="G133" s="83">
        <f>D133-E133</f>
        <v>460765055.9</v>
      </c>
    </row>
    <row r="134" spans="1:7" ht="15">
      <c r="A134" s="20" t="s">
        <v>350</v>
      </c>
      <c r="B134" s="83">
        <v>48088426</v>
      </c>
      <c r="C134" s="83">
        <v>-3794592.9</v>
      </c>
      <c r="D134" s="83">
        <v>44293833.1</v>
      </c>
      <c r="E134" s="83">
        <v>4293833.1</v>
      </c>
      <c r="F134" s="126">
        <v>4293833.1</v>
      </c>
      <c r="G134" s="83">
        <f>D134-E134</f>
        <v>40000000</v>
      </c>
    </row>
    <row r="135" spans="1:7" ht="15">
      <c r="A135" s="20" t="s">
        <v>351</v>
      </c>
      <c r="B135" s="83">
        <v>0</v>
      </c>
      <c r="C135" s="83">
        <v>0</v>
      </c>
      <c r="D135" s="83">
        <v>0</v>
      </c>
      <c r="E135" s="83">
        <v>0</v>
      </c>
      <c r="F135" s="83">
        <v>0</v>
      </c>
      <c r="G135" s="83">
        <f>D135-E135</f>
        <v>0</v>
      </c>
    </row>
    <row r="136" spans="1:7" ht="15">
      <c r="A136" s="19" t="s">
        <v>352</v>
      </c>
      <c r="B136" s="83">
        <f aca="true" t="shared" si="28" ref="B136:G136">SUM(B137:B141,B143:B144)</f>
        <v>0</v>
      </c>
      <c r="C136" s="83" t="s">
        <v>470</v>
      </c>
      <c r="D136" s="83">
        <f t="shared" si="28"/>
        <v>0</v>
      </c>
      <c r="E136" s="83">
        <f t="shared" si="28"/>
        <v>0</v>
      </c>
      <c r="F136" s="83">
        <f t="shared" si="28"/>
        <v>0</v>
      </c>
      <c r="G136" s="83">
        <f t="shared" si="28"/>
        <v>0</v>
      </c>
    </row>
    <row r="137" spans="1:7" ht="15">
      <c r="A137" s="20" t="s">
        <v>353</v>
      </c>
      <c r="B137" s="83">
        <v>0</v>
      </c>
      <c r="C137" s="83">
        <v>0</v>
      </c>
      <c r="D137" s="83">
        <v>0</v>
      </c>
      <c r="E137" s="83">
        <v>0</v>
      </c>
      <c r="F137" s="83">
        <v>0</v>
      </c>
      <c r="G137" s="83">
        <f>D137-E137</f>
        <v>0</v>
      </c>
    </row>
    <row r="138" spans="1:7" ht="15">
      <c r="A138" s="20" t="s">
        <v>354</v>
      </c>
      <c r="B138" s="83">
        <v>0</v>
      </c>
      <c r="C138" s="83">
        <v>0</v>
      </c>
      <c r="D138" s="83">
        <v>0</v>
      </c>
      <c r="E138" s="83">
        <v>0</v>
      </c>
      <c r="F138" s="83">
        <v>0</v>
      </c>
      <c r="G138" s="83">
        <f aca="true" t="shared" si="29" ref="G138:G144">D138-E138</f>
        <v>0</v>
      </c>
    </row>
    <row r="139" spans="1:7" ht="15">
      <c r="A139" s="20" t="s">
        <v>355</v>
      </c>
      <c r="B139" s="83">
        <v>0</v>
      </c>
      <c r="C139" s="83">
        <v>0</v>
      </c>
      <c r="D139" s="83">
        <v>0</v>
      </c>
      <c r="E139" s="83">
        <v>0</v>
      </c>
      <c r="F139" s="83">
        <v>0</v>
      </c>
      <c r="G139" s="83">
        <f t="shared" si="29"/>
        <v>0</v>
      </c>
    </row>
    <row r="140" spans="1:7" ht="15">
      <c r="A140" s="20" t="s">
        <v>356</v>
      </c>
      <c r="B140" s="83">
        <v>0</v>
      </c>
      <c r="C140" s="83">
        <v>0</v>
      </c>
      <c r="D140" s="83">
        <v>0</v>
      </c>
      <c r="E140" s="83">
        <v>0</v>
      </c>
      <c r="F140" s="83">
        <v>0</v>
      </c>
      <c r="G140" s="83">
        <f t="shared" si="29"/>
        <v>0</v>
      </c>
    </row>
    <row r="141" spans="1:7" ht="15">
      <c r="A141" s="20" t="s">
        <v>357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f t="shared" si="29"/>
        <v>0</v>
      </c>
    </row>
    <row r="142" spans="1:7" ht="15">
      <c r="A142" s="20" t="s">
        <v>358</v>
      </c>
      <c r="B142" s="83">
        <v>0</v>
      </c>
      <c r="C142" s="83">
        <v>0</v>
      </c>
      <c r="D142" s="83">
        <v>0</v>
      </c>
      <c r="E142" s="83">
        <v>0</v>
      </c>
      <c r="F142" s="83">
        <v>0</v>
      </c>
      <c r="G142" s="83">
        <f t="shared" si="29"/>
        <v>0</v>
      </c>
    </row>
    <row r="143" spans="1:7" ht="15">
      <c r="A143" s="20" t="s">
        <v>359</v>
      </c>
      <c r="B143" s="83">
        <v>0</v>
      </c>
      <c r="C143" s="83">
        <v>0</v>
      </c>
      <c r="D143" s="83">
        <v>0</v>
      </c>
      <c r="E143" s="83">
        <v>0</v>
      </c>
      <c r="F143" s="83">
        <v>0</v>
      </c>
      <c r="G143" s="83">
        <f t="shared" si="29"/>
        <v>0</v>
      </c>
    </row>
    <row r="144" spans="1:7" ht="15">
      <c r="A144" s="20" t="s">
        <v>360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  <c r="G144" s="83">
        <f t="shared" si="29"/>
        <v>0</v>
      </c>
    </row>
    <row r="145" spans="1:7" ht="15">
      <c r="A145" s="19" t="s">
        <v>361</v>
      </c>
      <c r="B145" s="83">
        <f aca="true" t="shared" si="30" ref="B145:G145">SUM(B146:B148)</f>
        <v>2159249916</v>
      </c>
      <c r="C145" s="83">
        <f t="shared" si="30"/>
        <v>14707239.649999999</v>
      </c>
      <c r="D145" s="83">
        <f t="shared" si="30"/>
        <v>2173957155.65</v>
      </c>
      <c r="E145" s="83">
        <f t="shared" si="30"/>
        <v>607780018.05</v>
      </c>
      <c r="F145" s="83">
        <f t="shared" si="30"/>
        <v>607780018.05</v>
      </c>
      <c r="G145" s="83">
        <f t="shared" si="30"/>
        <v>1566177137.6</v>
      </c>
    </row>
    <row r="146" spans="1:7" ht="15">
      <c r="A146" s="20" t="s">
        <v>362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3">
        <f>D146-E146</f>
        <v>0</v>
      </c>
    </row>
    <row r="147" spans="1:7" ht="15">
      <c r="A147" s="20" t="s">
        <v>363</v>
      </c>
      <c r="B147" s="83">
        <v>2061182027</v>
      </c>
      <c r="C147" s="83">
        <v>-4316388</v>
      </c>
      <c r="D147" s="83">
        <v>2056865639</v>
      </c>
      <c r="E147" s="83">
        <v>575812317</v>
      </c>
      <c r="F147" s="126">
        <v>575812317</v>
      </c>
      <c r="G147" s="126">
        <f>D147-E147</f>
        <v>1481053322</v>
      </c>
    </row>
    <row r="148" spans="1:7" ht="15">
      <c r="A148" s="20" t="s">
        <v>364</v>
      </c>
      <c r="B148" s="83">
        <v>98067889</v>
      </c>
      <c r="C148" s="83">
        <v>19023627.65</v>
      </c>
      <c r="D148" s="83">
        <v>117091516.65</v>
      </c>
      <c r="E148" s="83">
        <v>31967701.05</v>
      </c>
      <c r="F148" s="126">
        <v>31967701.05</v>
      </c>
      <c r="G148" s="83">
        <f>D148-E148</f>
        <v>85123815.60000001</v>
      </c>
    </row>
    <row r="149" spans="1:7" ht="15">
      <c r="A149" s="19" t="s">
        <v>365</v>
      </c>
      <c r="B149" s="83">
        <f aca="true" t="shared" si="31" ref="B149:G149">SUM(B150:B156)</f>
        <v>0</v>
      </c>
      <c r="C149" s="83">
        <f t="shared" si="31"/>
        <v>0</v>
      </c>
      <c r="D149" s="83">
        <f t="shared" si="31"/>
        <v>0</v>
      </c>
      <c r="E149" s="83">
        <f t="shared" si="31"/>
        <v>0</v>
      </c>
      <c r="F149" s="83">
        <f t="shared" si="31"/>
        <v>0</v>
      </c>
      <c r="G149" s="83">
        <f t="shared" si="31"/>
        <v>0</v>
      </c>
    </row>
    <row r="150" spans="1:7" ht="15">
      <c r="A150" s="20" t="s">
        <v>366</v>
      </c>
      <c r="B150" s="83">
        <v>0</v>
      </c>
      <c r="C150" s="83">
        <v>0</v>
      </c>
      <c r="D150" s="83">
        <v>0</v>
      </c>
      <c r="E150" s="83">
        <v>0</v>
      </c>
      <c r="F150" s="83">
        <v>0</v>
      </c>
      <c r="G150" s="83">
        <f>D150-E150</f>
        <v>0</v>
      </c>
    </row>
    <row r="151" spans="1:7" ht="15">
      <c r="A151" s="20" t="s">
        <v>367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f aca="true" t="shared" si="32" ref="G151:G156">D151-E151</f>
        <v>0</v>
      </c>
    </row>
    <row r="152" spans="1:7" ht="15">
      <c r="A152" s="20" t="s">
        <v>368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  <c r="G152" s="83">
        <f t="shared" si="32"/>
        <v>0</v>
      </c>
    </row>
    <row r="153" spans="1:7" ht="15">
      <c r="A153" s="23" t="s">
        <v>369</v>
      </c>
      <c r="B153" s="83">
        <v>0</v>
      </c>
      <c r="C153" s="83">
        <v>0</v>
      </c>
      <c r="D153" s="83">
        <v>0</v>
      </c>
      <c r="E153" s="83">
        <v>0</v>
      </c>
      <c r="F153" s="83">
        <v>0</v>
      </c>
      <c r="G153" s="83">
        <f t="shared" si="32"/>
        <v>0</v>
      </c>
    </row>
    <row r="154" spans="1:7" ht="15">
      <c r="A154" s="20" t="s">
        <v>370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f t="shared" si="32"/>
        <v>0</v>
      </c>
    </row>
    <row r="155" spans="1:7" ht="15">
      <c r="A155" s="20" t="s">
        <v>371</v>
      </c>
      <c r="B155" s="83">
        <v>0</v>
      </c>
      <c r="C155" s="83">
        <v>0</v>
      </c>
      <c r="D155" s="83">
        <v>0</v>
      </c>
      <c r="E155" s="83">
        <v>0</v>
      </c>
      <c r="F155" s="83">
        <v>0</v>
      </c>
      <c r="G155" s="83">
        <f t="shared" si="32"/>
        <v>0</v>
      </c>
    </row>
    <row r="156" spans="1:7" ht="15">
      <c r="A156" s="20" t="s">
        <v>372</v>
      </c>
      <c r="B156" s="83">
        <v>0</v>
      </c>
      <c r="C156" s="83">
        <v>0</v>
      </c>
      <c r="D156" s="83">
        <v>0</v>
      </c>
      <c r="E156" s="83">
        <v>0</v>
      </c>
      <c r="F156" s="83">
        <v>0</v>
      </c>
      <c r="G156" s="83">
        <f t="shared" si="32"/>
        <v>0</v>
      </c>
    </row>
    <row r="157" spans="1:7" ht="15">
      <c r="A157" s="24"/>
      <c r="B157" s="84"/>
      <c r="C157" s="84"/>
      <c r="D157" s="84"/>
      <c r="E157" s="84"/>
      <c r="F157" s="84"/>
      <c r="G157" s="84"/>
    </row>
    <row r="158" spans="1:7" ht="15">
      <c r="A158" s="25" t="s">
        <v>374</v>
      </c>
      <c r="B158" s="85">
        <f aca="true" t="shared" si="33" ref="B158:G158">B9+B83</f>
        <v>24826718921</v>
      </c>
      <c r="C158" s="85">
        <f t="shared" si="33"/>
        <v>1101279137.0300002</v>
      </c>
      <c r="D158" s="85">
        <f t="shared" si="33"/>
        <v>25927998058.03</v>
      </c>
      <c r="E158" s="85">
        <f t="shared" si="33"/>
        <v>5845972523.04</v>
      </c>
      <c r="F158" s="85">
        <f t="shared" si="33"/>
        <v>5831583138.48</v>
      </c>
      <c r="G158" s="85">
        <f t="shared" si="33"/>
        <v>20082025534.989998</v>
      </c>
    </row>
    <row r="159" spans="1:256" ht="15">
      <c r="A159" s="4"/>
      <c r="B159" s="115"/>
      <c r="C159" s="115"/>
      <c r="D159" s="115"/>
      <c r="E159" s="115"/>
      <c r="F159" s="115"/>
      <c r="G159" s="115"/>
      <c r="IV159" s="120"/>
    </row>
    <row r="160" spans="2:7" ht="15">
      <c r="B160" s="87"/>
      <c r="C160" s="87"/>
      <c r="D160" s="87"/>
      <c r="E160" s="87"/>
      <c r="F160" s="87"/>
      <c r="G160" s="87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4" r:id="rId1"/>
  <ignoredErrors>
    <ignoredError sqref="B9:C9 G11:G12 G19:G27 B18:F18 B28:F28 G29:G37 B38:F38 B48:F48 G55:G57 G59:G62 G63:G67 B70:F70 B74 G71:G73 B83 G96:G101 B102:F102 G103:G111 G113:G119 B112:F112 B122:F122 G120:G121 G123:G131 B132:F132 B136 G134:G135 G137:G138 G139:G144 G146:G147 B145:F145 B149:F149 G150:G156 B158:G158 G68:G69 B62:D62 B92 B10 D10:E10 D9:G9 E62:F62 G10 G13:G17 D136:F136 D74:F74 E83:G83 C92 G93 G86:G91 C83 G78:G81 G75:G77 C74 C82:G82 F77 F78:F81 G85 D83 D92:E92 F90 F95 G84 G95 G148" unlockedFormula="1"/>
    <ignoredError sqref="G18 G28 G38 G39:G54 G58 B58:C58 G70 G102 G122 G133 G132 G136 G145 G149 G112 E58:F58 F92:G92 G74 B84 C84:F84" formula="1" unlockedFormula="1"/>
    <ignoredError sqref="B84 C84:F84" formulaRange="1" unlockedFormula="1"/>
    <ignoredError sqref="D5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="80" zoomScaleNormal="80" zoomScalePageLayoutView="0" workbookViewId="0" topLeftCell="A1">
      <selection activeCell="G65" sqref="G65"/>
    </sheetView>
  </sheetViews>
  <sheetFormatPr defaultColWidth="0.85546875" defaultRowHeight="15" zeroHeight="1"/>
  <cols>
    <col min="1" max="1" width="59.28125" style="37" customWidth="1"/>
    <col min="2" max="6" width="20.7109375" style="37" customWidth="1"/>
    <col min="7" max="7" width="18.28125" style="37" customWidth="1"/>
    <col min="8" max="255" width="11.421875" style="0" hidden="1" customWidth="1"/>
  </cols>
  <sheetData>
    <row r="1" spans="1:7" ht="21">
      <c r="A1" s="164" t="s">
        <v>375</v>
      </c>
      <c r="B1" s="164"/>
      <c r="C1" s="164"/>
      <c r="D1" s="164"/>
      <c r="E1" s="164"/>
      <c r="F1" s="164"/>
      <c r="G1" s="164"/>
    </row>
    <row r="2" spans="1:7" ht="15">
      <c r="A2" s="142" t="s">
        <v>289</v>
      </c>
      <c r="B2" s="143"/>
      <c r="C2" s="143"/>
      <c r="D2" s="143"/>
      <c r="E2" s="143"/>
      <c r="F2" s="143"/>
      <c r="G2" s="144"/>
    </row>
    <row r="3" spans="1:7" ht="15">
      <c r="A3" s="145" t="s">
        <v>291</v>
      </c>
      <c r="B3" s="146"/>
      <c r="C3" s="146"/>
      <c r="D3" s="146"/>
      <c r="E3" s="146"/>
      <c r="F3" s="146"/>
      <c r="G3" s="147"/>
    </row>
    <row r="4" spans="1:7" ht="15">
      <c r="A4" s="145" t="s">
        <v>376</v>
      </c>
      <c r="B4" s="146"/>
      <c r="C4" s="146"/>
      <c r="D4" s="146"/>
      <c r="E4" s="146"/>
      <c r="F4" s="146"/>
      <c r="G4" s="147"/>
    </row>
    <row r="5" spans="1:7" ht="15">
      <c r="A5" s="148" t="s">
        <v>480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</v>
      </c>
      <c r="B7" s="160" t="s">
        <v>293</v>
      </c>
      <c r="C7" s="160"/>
      <c r="D7" s="160"/>
      <c r="E7" s="160"/>
      <c r="F7" s="160"/>
      <c r="G7" s="163" t="s">
        <v>294</v>
      </c>
    </row>
    <row r="8" spans="1:7" ht="30">
      <c r="A8" s="159"/>
      <c r="B8" s="17" t="s">
        <v>295</v>
      </c>
      <c r="C8" s="6" t="s">
        <v>226</v>
      </c>
      <c r="D8" s="17" t="s">
        <v>227</v>
      </c>
      <c r="E8" s="17" t="s">
        <v>182</v>
      </c>
      <c r="F8" s="17" t="s">
        <v>199</v>
      </c>
      <c r="G8" s="162"/>
    </row>
    <row r="9" spans="1:7" ht="15">
      <c r="A9" s="18" t="s">
        <v>377</v>
      </c>
      <c r="B9" s="103">
        <f>SUM(B10:GASTO_NE_FIN_01)</f>
        <v>12560746811</v>
      </c>
      <c r="C9" s="103">
        <f>SUM(C10:GASTO_NE_FIN_02)</f>
        <v>201933156.36</v>
      </c>
      <c r="D9" s="103">
        <f>SUM(D10:GASTO_NE_FIN_03)</f>
        <v>12762679967.36</v>
      </c>
      <c r="E9" s="103">
        <f>SUM(E10:GASTO_NE_FIN_04)</f>
        <v>2635488228.21</v>
      </c>
      <c r="F9" s="103">
        <f>SUM(F10:cvbcvb)</f>
        <v>2621098843.65</v>
      </c>
      <c r="G9" s="103">
        <f>SUM(G10:GASTO_NE_FIN_06)</f>
        <v>10127191739.150002</v>
      </c>
    </row>
    <row r="10" spans="1:7" ht="30">
      <c r="A10" s="80" t="s">
        <v>458</v>
      </c>
      <c r="B10" s="83">
        <v>178799805</v>
      </c>
      <c r="C10" s="83">
        <v>36128842.4</v>
      </c>
      <c r="D10" s="83">
        <v>214928647.4</v>
      </c>
      <c r="E10" s="83">
        <v>36916746.08</v>
      </c>
      <c r="F10" s="126">
        <v>36733708.55</v>
      </c>
      <c r="G10" s="83">
        <f>+D10-E10</f>
        <v>178011901.32</v>
      </c>
    </row>
    <row r="11" spans="1:7" ht="15">
      <c r="A11" s="38" t="s">
        <v>459</v>
      </c>
      <c r="B11" s="83">
        <v>439632866</v>
      </c>
      <c r="C11" s="83">
        <v>2161993.13</v>
      </c>
      <c r="D11" s="83">
        <v>441794859.13</v>
      </c>
      <c r="E11" s="83">
        <v>80711420.51</v>
      </c>
      <c r="F11" s="126">
        <v>80295846.79</v>
      </c>
      <c r="G11" s="124">
        <f aca="true" t="shared" si="0" ref="G11:G35">+D11-E11</f>
        <v>361083438.62</v>
      </c>
    </row>
    <row r="12" spans="1:7" ht="15">
      <c r="A12" s="38" t="s">
        <v>460</v>
      </c>
      <c r="B12" s="83">
        <v>782141897</v>
      </c>
      <c r="C12" s="83">
        <v>1209591.71</v>
      </c>
      <c r="D12" s="83">
        <v>783351488.71</v>
      </c>
      <c r="E12" s="83">
        <v>115571190.13</v>
      </c>
      <c r="F12" s="126">
        <v>115107365.41</v>
      </c>
      <c r="G12" s="124">
        <f t="shared" si="0"/>
        <v>667780298.58</v>
      </c>
    </row>
    <row r="13" spans="1:7" ht="30">
      <c r="A13" s="80" t="s">
        <v>461</v>
      </c>
      <c r="B13" s="83">
        <v>46702556</v>
      </c>
      <c r="C13" s="83">
        <v>31012.56</v>
      </c>
      <c r="D13" s="83">
        <v>46733568.56</v>
      </c>
      <c r="E13" s="83">
        <v>7608616.81</v>
      </c>
      <c r="F13" s="126">
        <v>7545920.17</v>
      </c>
      <c r="G13" s="124">
        <f t="shared" si="0"/>
        <v>39124951.75</v>
      </c>
    </row>
    <row r="14" spans="1:7" ht="15">
      <c r="A14" s="38" t="s">
        <v>436</v>
      </c>
      <c r="B14" s="83">
        <v>595831253</v>
      </c>
      <c r="C14" s="83">
        <v>-6947304.07</v>
      </c>
      <c r="D14" s="83">
        <v>588883948.93</v>
      </c>
      <c r="E14" s="83">
        <v>70325563.56</v>
      </c>
      <c r="F14" s="126">
        <v>69822739.83</v>
      </c>
      <c r="G14" s="124">
        <f t="shared" si="0"/>
        <v>518558385.36999995</v>
      </c>
    </row>
    <row r="15" spans="1:7" ht="15">
      <c r="A15" s="38" t="s">
        <v>437</v>
      </c>
      <c r="B15" s="83">
        <v>333307677</v>
      </c>
      <c r="C15" s="83">
        <v>281148.02</v>
      </c>
      <c r="D15" s="83">
        <v>333588825.02</v>
      </c>
      <c r="E15" s="83">
        <v>63287943.23</v>
      </c>
      <c r="F15" s="126">
        <v>62926135.34</v>
      </c>
      <c r="G15" s="124">
        <f t="shared" si="0"/>
        <v>270300881.78999996</v>
      </c>
    </row>
    <row r="16" spans="1:7" ht="30">
      <c r="A16" s="80" t="s">
        <v>462</v>
      </c>
      <c r="B16" s="83">
        <v>396854906</v>
      </c>
      <c r="C16" s="83">
        <v>103992945.42</v>
      </c>
      <c r="D16" s="83">
        <v>500847851.42</v>
      </c>
      <c r="E16" s="83">
        <v>86755151.62</v>
      </c>
      <c r="F16" s="126">
        <v>81774652.42</v>
      </c>
      <c r="G16" s="124">
        <f t="shared" si="0"/>
        <v>414092699.8</v>
      </c>
    </row>
    <row r="17" spans="1:7" ht="15">
      <c r="A17" s="38" t="s">
        <v>438</v>
      </c>
      <c r="B17" s="83">
        <v>55419524</v>
      </c>
      <c r="C17" s="83">
        <v>165</v>
      </c>
      <c r="D17" s="83">
        <v>55419689</v>
      </c>
      <c r="E17" s="83">
        <v>8174460.12</v>
      </c>
      <c r="F17" s="126">
        <v>8110005.1</v>
      </c>
      <c r="G17" s="124">
        <f t="shared" si="0"/>
        <v>47245228.88</v>
      </c>
    </row>
    <row r="18" spans="1:7" ht="15">
      <c r="A18" s="38" t="s">
        <v>463</v>
      </c>
      <c r="B18" s="83">
        <v>162865574</v>
      </c>
      <c r="C18" s="83">
        <v>-6198433.61</v>
      </c>
      <c r="D18" s="83">
        <v>156667140.39</v>
      </c>
      <c r="E18" s="83">
        <v>15670873.58</v>
      </c>
      <c r="F18" s="126">
        <v>15568854.13</v>
      </c>
      <c r="G18" s="124">
        <f t="shared" si="0"/>
        <v>140996266.80999997</v>
      </c>
    </row>
    <row r="19" spans="1:7" ht="15">
      <c r="A19" s="38" t="s">
        <v>464</v>
      </c>
      <c r="B19" s="83">
        <v>391486643</v>
      </c>
      <c r="C19" s="83">
        <v>-1199862</v>
      </c>
      <c r="D19" s="83">
        <v>390286781</v>
      </c>
      <c r="E19" s="83">
        <v>30951248.67</v>
      </c>
      <c r="F19" s="126">
        <v>30828675.91</v>
      </c>
      <c r="G19" s="124">
        <f t="shared" si="0"/>
        <v>359335532.33</v>
      </c>
    </row>
    <row r="20" spans="1:7" ht="15">
      <c r="A20" s="38" t="s">
        <v>465</v>
      </c>
      <c r="B20" s="83">
        <v>21159297</v>
      </c>
      <c r="C20" s="83">
        <v>0</v>
      </c>
      <c r="D20" s="83">
        <v>21159297</v>
      </c>
      <c r="E20" s="83">
        <v>2959211.94</v>
      </c>
      <c r="F20" s="126">
        <v>2934238.47</v>
      </c>
      <c r="G20" s="124">
        <f t="shared" si="0"/>
        <v>18200085.06</v>
      </c>
    </row>
    <row r="21" spans="1:7" ht="30">
      <c r="A21" s="80" t="s">
        <v>466</v>
      </c>
      <c r="B21" s="83">
        <v>121030999</v>
      </c>
      <c r="C21" s="83">
        <v>55978.11</v>
      </c>
      <c r="D21" s="83">
        <v>121086977.11</v>
      </c>
      <c r="E21" s="83">
        <v>9802089.62</v>
      </c>
      <c r="F21" s="126">
        <v>9763735.24</v>
      </c>
      <c r="G21" s="124">
        <f t="shared" si="0"/>
        <v>111284887.49</v>
      </c>
    </row>
    <row r="22" spans="1:7" ht="15">
      <c r="A22" s="38" t="s">
        <v>439</v>
      </c>
      <c r="B22" s="83">
        <v>124631291</v>
      </c>
      <c r="C22" s="83">
        <v>-19495911.52</v>
      </c>
      <c r="D22" s="83">
        <v>105135379.48</v>
      </c>
      <c r="E22" s="83">
        <v>16374145.3</v>
      </c>
      <c r="F22" s="126">
        <v>16316893.24</v>
      </c>
      <c r="G22" s="124">
        <f t="shared" si="0"/>
        <v>88761234.18</v>
      </c>
    </row>
    <row r="23" spans="1:7" ht="15">
      <c r="A23" s="38" t="s">
        <v>467</v>
      </c>
      <c r="B23" s="83">
        <v>626933457</v>
      </c>
      <c r="C23" s="83">
        <v>18687846.45</v>
      </c>
      <c r="D23" s="83">
        <v>645621303.45</v>
      </c>
      <c r="E23" s="83">
        <v>122455910.05</v>
      </c>
      <c r="F23" s="126">
        <v>121482438.27</v>
      </c>
      <c r="G23" s="124">
        <f t="shared" si="0"/>
        <v>523165393.40000004</v>
      </c>
    </row>
    <row r="24" spans="1:7" ht="15">
      <c r="A24" s="38" t="s">
        <v>440</v>
      </c>
      <c r="B24" s="83">
        <v>92684978</v>
      </c>
      <c r="C24" s="83">
        <v>3315098.95</v>
      </c>
      <c r="D24" s="83">
        <v>96000076.95</v>
      </c>
      <c r="E24" s="83">
        <v>27825890.67</v>
      </c>
      <c r="F24" s="126">
        <v>27756397.15</v>
      </c>
      <c r="G24" s="124">
        <f t="shared" si="0"/>
        <v>68174186.28</v>
      </c>
    </row>
    <row r="25" spans="1:7" ht="15">
      <c r="A25" s="38" t="s">
        <v>441</v>
      </c>
      <c r="B25" s="83">
        <v>92168764</v>
      </c>
      <c r="C25" s="83">
        <v>115</v>
      </c>
      <c r="D25" s="83">
        <v>92168879</v>
      </c>
      <c r="E25" s="83">
        <v>17822919.83</v>
      </c>
      <c r="F25" s="126">
        <v>17726511.95</v>
      </c>
      <c r="G25" s="124">
        <f t="shared" si="0"/>
        <v>74345959.17</v>
      </c>
    </row>
    <row r="26" spans="1:7" ht="15">
      <c r="A26" s="38" t="s">
        <v>468</v>
      </c>
      <c r="B26" s="83">
        <v>33792212</v>
      </c>
      <c r="C26" s="83">
        <v>158377.52</v>
      </c>
      <c r="D26" s="83">
        <v>33950589.52</v>
      </c>
      <c r="E26" s="83">
        <v>5337990.63</v>
      </c>
      <c r="F26" s="126">
        <v>5313836.55</v>
      </c>
      <c r="G26" s="124">
        <f t="shared" si="0"/>
        <v>28612598.890000004</v>
      </c>
    </row>
    <row r="27" spans="1:7" ht="15">
      <c r="A27" s="38" t="s">
        <v>442</v>
      </c>
      <c r="B27" s="83">
        <v>421644622</v>
      </c>
      <c r="C27" s="83">
        <v>587816.73</v>
      </c>
      <c r="D27" s="83">
        <v>422232438.73</v>
      </c>
      <c r="E27" s="83">
        <v>67766990.7</v>
      </c>
      <c r="F27" s="126">
        <v>67198404</v>
      </c>
      <c r="G27" s="124">
        <f t="shared" si="0"/>
        <v>354465448.03000003</v>
      </c>
    </row>
    <row r="28" spans="1:7" ht="15">
      <c r="A28" s="38" t="s">
        <v>456</v>
      </c>
      <c r="B28" s="83">
        <v>201444083</v>
      </c>
      <c r="C28" s="83">
        <v>0</v>
      </c>
      <c r="D28" s="83">
        <v>201444083</v>
      </c>
      <c r="E28" s="83">
        <v>0</v>
      </c>
      <c r="F28" s="83">
        <v>0</v>
      </c>
      <c r="G28" s="124">
        <f t="shared" si="0"/>
        <v>201444083</v>
      </c>
    </row>
    <row r="29" spans="1:7" ht="15">
      <c r="A29" s="38" t="s">
        <v>443</v>
      </c>
      <c r="B29" s="83">
        <v>409358843</v>
      </c>
      <c r="C29" s="83">
        <v>0</v>
      </c>
      <c r="D29" s="83">
        <v>409358843</v>
      </c>
      <c r="E29" s="83">
        <v>86830676.36</v>
      </c>
      <c r="F29" s="126">
        <v>86830676.36</v>
      </c>
      <c r="G29" s="124">
        <f t="shared" si="0"/>
        <v>322528166.64</v>
      </c>
    </row>
    <row r="30" spans="1:7" ht="15">
      <c r="A30" s="38" t="s">
        <v>444</v>
      </c>
      <c r="B30" s="83">
        <v>251680320</v>
      </c>
      <c r="C30" s="83">
        <v>0</v>
      </c>
      <c r="D30" s="83">
        <v>251680320</v>
      </c>
      <c r="E30" s="83">
        <v>64505640</v>
      </c>
      <c r="F30" s="126">
        <v>64505640</v>
      </c>
      <c r="G30" s="124">
        <f t="shared" si="0"/>
        <v>187174680</v>
      </c>
    </row>
    <row r="31" spans="1:7" ht="15">
      <c r="A31" s="38" t="s">
        <v>445</v>
      </c>
      <c r="B31" s="83">
        <v>332386758</v>
      </c>
      <c r="C31" s="83">
        <v>0</v>
      </c>
      <c r="D31" s="83">
        <v>332386758</v>
      </c>
      <c r="E31" s="83">
        <v>82846691</v>
      </c>
      <c r="F31" s="126">
        <v>82846691</v>
      </c>
      <c r="G31" s="124">
        <f t="shared" si="0"/>
        <v>249540067</v>
      </c>
    </row>
    <row r="32" spans="1:7" ht="15">
      <c r="A32" s="38" t="s">
        <v>446</v>
      </c>
      <c r="B32" s="123">
        <v>263113109</v>
      </c>
      <c r="C32" s="123">
        <v>128241</v>
      </c>
      <c r="D32" s="123">
        <v>263241350</v>
      </c>
      <c r="E32" s="123">
        <v>50946645</v>
      </c>
      <c r="F32" s="126">
        <v>50225480</v>
      </c>
      <c r="G32" s="124">
        <f t="shared" si="0"/>
        <v>212294705</v>
      </c>
    </row>
    <row r="33" spans="1:7" ht="15">
      <c r="A33" s="38" t="s">
        <v>447</v>
      </c>
      <c r="B33" s="83">
        <v>2914436267</v>
      </c>
      <c r="C33" s="83">
        <v>12513336.98</v>
      </c>
      <c r="D33" s="83">
        <v>2926949603.98</v>
      </c>
      <c r="E33" s="83">
        <v>707195033.66</v>
      </c>
      <c r="F33" s="126">
        <v>706343788.63</v>
      </c>
      <c r="G33" s="124">
        <f t="shared" si="0"/>
        <v>2219754570.32</v>
      </c>
    </row>
    <row r="34" spans="1:7" ht="15">
      <c r="A34" s="38" t="s">
        <v>448</v>
      </c>
      <c r="B34" s="83">
        <v>47151000</v>
      </c>
      <c r="C34" s="83">
        <v>0</v>
      </c>
      <c r="D34" s="83">
        <v>47151000</v>
      </c>
      <c r="E34" s="83">
        <v>7933333</v>
      </c>
      <c r="F34" s="126">
        <v>7933333</v>
      </c>
      <c r="G34" s="124">
        <f t="shared" si="0"/>
        <v>39217667</v>
      </c>
    </row>
    <row r="35" spans="1:7" ht="15">
      <c r="A35" s="38" t="s">
        <v>449</v>
      </c>
      <c r="B35" s="83">
        <v>3224088110</v>
      </c>
      <c r="C35" s="83">
        <v>56522158.58</v>
      </c>
      <c r="D35" s="83">
        <v>3280610268.58</v>
      </c>
      <c r="E35" s="83">
        <v>848911846.14</v>
      </c>
      <c r="F35" s="126">
        <v>845206876.14</v>
      </c>
      <c r="G35" s="124">
        <f t="shared" si="0"/>
        <v>2431698422.44</v>
      </c>
    </row>
    <row r="36" spans="1:7" ht="15">
      <c r="A36" s="39" t="s">
        <v>146</v>
      </c>
      <c r="B36" s="84"/>
      <c r="C36" s="84"/>
      <c r="D36" s="84"/>
      <c r="E36" s="84"/>
      <c r="F36" s="84"/>
      <c r="G36" s="84"/>
    </row>
    <row r="37" spans="1:7" ht="15">
      <c r="A37" s="22" t="s">
        <v>378</v>
      </c>
      <c r="B37" s="85">
        <f>SUM(B38:B39:cbvbcvbcv)</f>
        <v>12265972110</v>
      </c>
      <c r="C37" s="85">
        <f>SUM(C38:C39:GASTO_E_FIN_02)</f>
        <v>899345980.67</v>
      </c>
      <c r="D37" s="85">
        <f>SUM(D38:D39:cvbcvbcbv)</f>
        <v>13165318090.67</v>
      </c>
      <c r="E37" s="85">
        <f>SUM(E38:E39:GASTO_E_FIN_04)</f>
        <v>3210484294.83</v>
      </c>
      <c r="F37" s="85">
        <f>SUM(F38:F39:GASTO_E_FIN_05)</f>
        <v>3210484294.83</v>
      </c>
      <c r="G37" s="129">
        <f>SUM(G38:G39:GASTO_E_FIN_06)</f>
        <v>9954833795.84</v>
      </c>
    </row>
    <row r="38" spans="1:7" ht="30">
      <c r="A38" s="80" t="s">
        <v>458</v>
      </c>
      <c r="B38" s="126">
        <v>0</v>
      </c>
      <c r="C38" s="126">
        <v>11412704.74</v>
      </c>
      <c r="D38" s="126">
        <v>11412704.74</v>
      </c>
      <c r="E38" s="126">
        <v>11412704.74</v>
      </c>
      <c r="F38" s="126">
        <v>11412704.74</v>
      </c>
      <c r="G38" s="130">
        <f>+D38-E38</f>
        <v>0</v>
      </c>
    </row>
    <row r="39" spans="1:7" ht="15">
      <c r="A39" s="38" t="s">
        <v>459</v>
      </c>
      <c r="B39" s="83">
        <v>40275957</v>
      </c>
      <c r="C39" s="83">
        <v>4790820.93</v>
      </c>
      <c r="D39" s="83">
        <v>45066777.93</v>
      </c>
      <c r="E39" s="83">
        <v>16408237.17</v>
      </c>
      <c r="F39" s="126">
        <v>16408237.17</v>
      </c>
      <c r="G39" s="130">
        <f aca="true" t="shared" si="1" ref="G39:G44">+D39-E39</f>
        <v>28658540.759999998</v>
      </c>
    </row>
    <row r="40" spans="1:7" ht="15">
      <c r="A40" s="38" t="s">
        <v>460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30">
        <f t="shared" si="1"/>
        <v>0</v>
      </c>
    </row>
    <row r="41" spans="1:7" ht="30">
      <c r="A41" s="80" t="s">
        <v>461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30">
        <f t="shared" si="1"/>
        <v>0</v>
      </c>
    </row>
    <row r="42" spans="1:7" ht="15">
      <c r="A42" s="38" t="s">
        <v>436</v>
      </c>
      <c r="B42" s="83">
        <v>5277988307</v>
      </c>
      <c r="C42" s="83">
        <v>115255849.11</v>
      </c>
      <c r="D42" s="83">
        <v>5393244156.11</v>
      </c>
      <c r="E42" s="83">
        <v>1357718587.15</v>
      </c>
      <c r="F42" s="126">
        <v>1357718587.15</v>
      </c>
      <c r="G42" s="130">
        <f t="shared" si="1"/>
        <v>4035525568.9599996</v>
      </c>
    </row>
    <row r="43" spans="1:7" ht="15">
      <c r="A43" s="38" t="s">
        <v>437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30">
        <f>+D43-E43</f>
        <v>0</v>
      </c>
    </row>
    <row r="44" spans="1:7" ht="30">
      <c r="A44" s="80" t="s">
        <v>462</v>
      </c>
      <c r="B44" s="83">
        <v>345292539</v>
      </c>
      <c r="C44" s="83">
        <v>57883869.98</v>
      </c>
      <c r="D44" s="83">
        <v>403176408.98</v>
      </c>
      <c r="E44" s="83">
        <v>57815233.59</v>
      </c>
      <c r="F44" s="126">
        <v>57815233.59</v>
      </c>
      <c r="G44" s="130">
        <f t="shared" si="1"/>
        <v>345361175.39</v>
      </c>
    </row>
    <row r="45" spans="1:7" ht="15">
      <c r="A45" s="38" t="s">
        <v>438</v>
      </c>
      <c r="B45" s="83">
        <v>0</v>
      </c>
      <c r="C45" s="83">
        <v>14902349.91</v>
      </c>
      <c r="D45" s="83">
        <v>14902349.91</v>
      </c>
      <c r="E45" s="83">
        <v>14902349.91</v>
      </c>
      <c r="F45" s="83">
        <v>14902349.91</v>
      </c>
      <c r="G45" s="83">
        <f>D45-E45</f>
        <v>0</v>
      </c>
    </row>
    <row r="46" spans="1:7" ht="15">
      <c r="A46" s="38" t="s">
        <v>463</v>
      </c>
      <c r="B46" s="83">
        <v>21897547</v>
      </c>
      <c r="C46" s="83">
        <v>4212895.9</v>
      </c>
      <c r="D46" s="83">
        <v>26110442.9</v>
      </c>
      <c r="E46" s="83">
        <v>4448051.33</v>
      </c>
      <c r="F46" s="126">
        <v>4448051.33</v>
      </c>
      <c r="G46" s="83">
        <f>D46-E46</f>
        <v>21662391.57</v>
      </c>
    </row>
    <row r="47" spans="1:7" ht="15">
      <c r="A47" s="38" t="s">
        <v>464</v>
      </c>
      <c r="B47" s="83">
        <v>62464666</v>
      </c>
      <c r="C47" s="83">
        <v>1556366.2</v>
      </c>
      <c r="D47" s="83">
        <v>64021032.2</v>
      </c>
      <c r="E47" s="83">
        <v>1556366.2</v>
      </c>
      <c r="F47" s="83">
        <v>1556366.2</v>
      </c>
      <c r="G47" s="83">
        <f>D47-E47</f>
        <v>62464666</v>
      </c>
    </row>
    <row r="48" spans="1:7" ht="15">
      <c r="A48" s="38" t="s">
        <v>465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f>+D48-E48</f>
        <v>0</v>
      </c>
    </row>
    <row r="49" spans="1:7" ht="30">
      <c r="A49" s="80" t="s">
        <v>466</v>
      </c>
      <c r="B49" s="126">
        <v>38000000</v>
      </c>
      <c r="C49" s="126">
        <v>13313344.59</v>
      </c>
      <c r="D49" s="126">
        <v>51313344.59</v>
      </c>
      <c r="E49" s="126">
        <v>13313344.59</v>
      </c>
      <c r="F49" s="126">
        <v>13313344.59</v>
      </c>
      <c r="G49" s="126">
        <f>+D49-E49</f>
        <v>38000000</v>
      </c>
    </row>
    <row r="50" spans="1:7" ht="15">
      <c r="A50" s="38" t="s">
        <v>439</v>
      </c>
      <c r="B50" s="83">
        <v>0</v>
      </c>
      <c r="C50" s="83">
        <v>5643172.88</v>
      </c>
      <c r="D50" s="83">
        <v>5643172.88</v>
      </c>
      <c r="E50" s="83">
        <v>5643172.87</v>
      </c>
      <c r="F50" s="126">
        <v>5643172.87</v>
      </c>
      <c r="G50" s="83">
        <f>D50-E50</f>
        <v>0.009999999776482582</v>
      </c>
    </row>
    <row r="51" spans="1:7" ht="15">
      <c r="A51" s="38" t="s">
        <v>467</v>
      </c>
      <c r="B51" s="83">
        <v>111761318</v>
      </c>
      <c r="C51" s="83">
        <v>36697439.05</v>
      </c>
      <c r="D51" s="83">
        <v>148458757.05</v>
      </c>
      <c r="E51" s="83">
        <v>18439868.74</v>
      </c>
      <c r="F51" s="126">
        <v>18439868.74</v>
      </c>
      <c r="G51" s="83">
        <f>D51-E51</f>
        <v>130018888.31000002</v>
      </c>
    </row>
    <row r="52" spans="1:7" ht="15">
      <c r="A52" s="38" t="s">
        <v>440</v>
      </c>
      <c r="B52" s="83">
        <v>40000000</v>
      </c>
      <c r="C52" s="83">
        <v>0</v>
      </c>
      <c r="D52" s="83">
        <v>40000000</v>
      </c>
      <c r="E52" s="83">
        <v>0</v>
      </c>
      <c r="F52" s="83">
        <v>0</v>
      </c>
      <c r="G52" s="83">
        <f>D52-E52</f>
        <v>40000000</v>
      </c>
    </row>
    <row r="53" spans="1:7" ht="15">
      <c r="A53" s="38" t="s">
        <v>441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f>+D53-E53</f>
        <v>0</v>
      </c>
    </row>
    <row r="54" spans="1:7" ht="15">
      <c r="A54" s="38" t="s">
        <v>468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f>+D54-E54</f>
        <v>0</v>
      </c>
    </row>
    <row r="55" spans="1:7" ht="15">
      <c r="A55" s="38" t="s">
        <v>442</v>
      </c>
      <c r="B55" s="83">
        <v>44095500</v>
      </c>
      <c r="C55" s="83">
        <v>2952211.29</v>
      </c>
      <c r="D55" s="83">
        <v>47047711.29</v>
      </c>
      <c r="E55" s="83">
        <v>2952211.29</v>
      </c>
      <c r="F55" s="126">
        <v>2952211.29</v>
      </c>
      <c r="G55" s="83">
        <f>D55-E55</f>
        <v>44095500</v>
      </c>
    </row>
    <row r="56" spans="1:7" ht="15">
      <c r="A56" s="38" t="s">
        <v>456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f>+D56-E56</f>
        <v>0</v>
      </c>
    </row>
    <row r="57" spans="1:7" ht="15">
      <c r="A57" s="38" t="s">
        <v>443</v>
      </c>
      <c r="B57" s="126">
        <v>0</v>
      </c>
      <c r="C57" s="126">
        <v>0</v>
      </c>
      <c r="D57" s="126">
        <v>0</v>
      </c>
      <c r="E57" s="126">
        <v>0</v>
      </c>
      <c r="F57" s="126">
        <v>0</v>
      </c>
      <c r="G57" s="126">
        <f>+D57-E57</f>
        <v>0</v>
      </c>
    </row>
    <row r="58" spans="1:7" ht="15">
      <c r="A58" s="38" t="s">
        <v>444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f>+D58-E58</f>
        <v>0</v>
      </c>
    </row>
    <row r="59" spans="1:7" ht="15">
      <c r="A59" s="38" t="s">
        <v>445</v>
      </c>
      <c r="B59" s="126">
        <v>0</v>
      </c>
      <c r="C59" s="126">
        <v>2690974.06</v>
      </c>
      <c r="D59" s="126">
        <v>2690974.06</v>
      </c>
      <c r="E59" s="126">
        <v>2690974.06</v>
      </c>
      <c r="F59" s="126">
        <v>2690974.06</v>
      </c>
      <c r="G59" s="126">
        <f>+D59-E59</f>
        <v>0</v>
      </c>
    </row>
    <row r="60" spans="1:7" ht="15">
      <c r="A60" s="38" t="s">
        <v>446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f>+D60-E60</f>
        <v>0</v>
      </c>
    </row>
    <row r="61" spans="1:7" ht="15">
      <c r="A61" s="38" t="s">
        <v>447</v>
      </c>
      <c r="B61" s="83">
        <v>4124946360</v>
      </c>
      <c r="C61" s="83">
        <v>623201027.22</v>
      </c>
      <c r="D61" s="83">
        <v>4748147387.22</v>
      </c>
      <c r="E61" s="83">
        <v>1099890246.98</v>
      </c>
      <c r="F61" s="126">
        <v>1099890246.98</v>
      </c>
      <c r="G61" s="83">
        <f>D61-E61</f>
        <v>3648257140.2400002</v>
      </c>
    </row>
    <row r="62" spans="1:7" ht="15">
      <c r="A62" s="38" t="s">
        <v>448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f>+D62-E62</f>
        <v>0</v>
      </c>
    </row>
    <row r="63" spans="1:7" ht="15">
      <c r="A63" s="38" t="s">
        <v>449</v>
      </c>
      <c r="B63" s="83">
        <v>2159249916</v>
      </c>
      <c r="C63" s="83">
        <v>4832954.81</v>
      </c>
      <c r="D63" s="83">
        <v>2164082870.81</v>
      </c>
      <c r="E63" s="83">
        <v>603292946.21</v>
      </c>
      <c r="F63" s="126">
        <v>603292946.21</v>
      </c>
      <c r="G63" s="124">
        <f>D63-E63</f>
        <v>1560789924.6</v>
      </c>
    </row>
    <row r="64" spans="1:7" ht="15">
      <c r="A64" s="39" t="s">
        <v>146</v>
      </c>
      <c r="B64" s="28"/>
      <c r="C64" s="28"/>
      <c r="D64" s="28"/>
      <c r="E64" s="28"/>
      <c r="F64" s="28"/>
      <c r="G64" s="28"/>
    </row>
    <row r="65" spans="1:7" ht="15">
      <c r="A65" s="22" t="s">
        <v>374</v>
      </c>
      <c r="B65" s="85">
        <f>GASTO_NE_T1+vcvcbvcbcvb</f>
        <v>24826718921</v>
      </c>
      <c r="C65" s="85">
        <f>cvbvcbcbvbc+cvbcbvbcvbvc</f>
        <v>1101279137.03</v>
      </c>
      <c r="D65" s="85">
        <f>vcbvbcbdfgfdg+GASTO_E_T3</f>
        <v>25927998058.03</v>
      </c>
      <c r="E65" s="85">
        <f>GASTO_NE_T4+GASTO_E_T4</f>
        <v>5845972523.04</v>
      </c>
      <c r="F65" s="85">
        <f>GASTO_NE_T5+GASTO_E_T5</f>
        <v>5831583138.48</v>
      </c>
      <c r="G65" s="85">
        <f>GASTO_NE_T6+GASTO_E_T6</f>
        <v>20082025534.99</v>
      </c>
    </row>
    <row r="66" spans="1:7" ht="15">
      <c r="A66" s="34"/>
      <c r="B66" s="116"/>
      <c r="C66" s="116"/>
      <c r="D66" s="116"/>
      <c r="E66" s="116"/>
      <c r="F66" s="116"/>
      <c r="G66" s="116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spans="1:7" ht="15" hidden="1">
      <c r="A77"/>
      <c r="B77"/>
      <c r="C77"/>
      <c r="D77"/>
      <c r="E77"/>
      <c r="F77"/>
      <c r="G77"/>
    </row>
    <row r="78" spans="1:7" ht="15" hidden="1">
      <c r="A78"/>
      <c r="B78"/>
      <c r="C78"/>
      <c r="D78"/>
      <c r="E78"/>
      <c r="F78"/>
      <c r="G78"/>
    </row>
    <row r="79" spans="1:7" ht="15" hidden="1">
      <c r="A79"/>
      <c r="B79"/>
      <c r="C79"/>
      <c r="D79"/>
      <c r="E79"/>
      <c r="F79"/>
      <c r="G79"/>
    </row>
    <row r="80" spans="1:7" ht="15" hidden="1">
      <c r="A80"/>
      <c r="B80"/>
      <c r="C80"/>
      <c r="D80"/>
      <c r="E80"/>
      <c r="F80"/>
      <c r="G80"/>
    </row>
    <row r="81" spans="1:7" ht="15" hidden="1">
      <c r="A81"/>
      <c r="B81"/>
      <c r="C81"/>
      <c r="D81"/>
      <c r="E81"/>
      <c r="F81"/>
      <c r="G81"/>
    </row>
    <row r="82" ht="15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65:C65 B9:C9 G10:G35 D9:G9 G45:G47 G50:G52 G63 G48:G49 G64:G65 G53:G54 D65:F65" unlockedFormula="1"/>
    <ignoredError sqref="G56:G60 G55 G61:G62 B37:F37" formula="1" unlockedFormula="1"/>
    <ignoredError sqref="B37:F37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zoomScalePageLayoutView="0" workbookViewId="0" topLeftCell="A1">
      <selection activeCell="G77" sqref="G77"/>
    </sheetView>
  </sheetViews>
  <sheetFormatPr defaultColWidth="0.71875" defaultRowHeight="15" zeroHeight="1"/>
  <cols>
    <col min="1" max="1" width="74.57421875" style="37" customWidth="1"/>
    <col min="2" max="6" width="20.7109375" style="37" customWidth="1"/>
    <col min="7" max="7" width="17.8515625" style="37" bestFit="1" customWidth="1"/>
    <col min="8" max="255" width="11.421875" style="0" hidden="1" customWidth="1"/>
  </cols>
  <sheetData>
    <row r="1" spans="1:7" ht="21">
      <c r="A1" s="167" t="s">
        <v>379</v>
      </c>
      <c r="B1" s="157"/>
      <c r="C1" s="157"/>
      <c r="D1" s="157"/>
      <c r="E1" s="157"/>
      <c r="F1" s="157"/>
      <c r="G1" s="157"/>
    </row>
    <row r="2" spans="1:7" ht="15">
      <c r="A2" s="142" t="s">
        <v>289</v>
      </c>
      <c r="B2" s="143"/>
      <c r="C2" s="143"/>
      <c r="D2" s="143"/>
      <c r="E2" s="143"/>
      <c r="F2" s="143"/>
      <c r="G2" s="144"/>
    </row>
    <row r="3" spans="1:7" ht="15">
      <c r="A3" s="145" t="s">
        <v>380</v>
      </c>
      <c r="B3" s="146"/>
      <c r="C3" s="146"/>
      <c r="D3" s="146"/>
      <c r="E3" s="146"/>
      <c r="F3" s="146"/>
      <c r="G3" s="147"/>
    </row>
    <row r="4" spans="1:7" ht="15">
      <c r="A4" s="145" t="s">
        <v>381</v>
      </c>
      <c r="B4" s="146"/>
      <c r="C4" s="146"/>
      <c r="D4" s="146"/>
      <c r="E4" s="146"/>
      <c r="F4" s="146"/>
      <c r="G4" s="147"/>
    </row>
    <row r="5" spans="1:7" ht="15">
      <c r="A5" s="148" t="s">
        <v>480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</v>
      </c>
      <c r="B7" s="151" t="s">
        <v>293</v>
      </c>
      <c r="C7" s="152"/>
      <c r="D7" s="152"/>
      <c r="E7" s="152"/>
      <c r="F7" s="153"/>
      <c r="G7" s="163" t="s">
        <v>382</v>
      </c>
    </row>
    <row r="8" spans="1:7" ht="30">
      <c r="A8" s="159"/>
      <c r="B8" s="17" t="s">
        <v>295</v>
      </c>
      <c r="C8" s="6" t="s">
        <v>383</v>
      </c>
      <c r="D8" s="17" t="s">
        <v>297</v>
      </c>
      <c r="E8" s="17" t="s">
        <v>182</v>
      </c>
      <c r="F8" s="29" t="s">
        <v>199</v>
      </c>
      <c r="G8" s="162"/>
    </row>
    <row r="9" spans="1:7" ht="15">
      <c r="A9" s="18" t="s">
        <v>384</v>
      </c>
      <c r="B9" s="104">
        <f aca="true" t="shared" si="0" ref="B9:G9">SUM(B10,B19,B27,B37)</f>
        <v>12560746811</v>
      </c>
      <c r="C9" s="104">
        <f>SUM(C10,C19,C27,C37)</f>
        <v>201933156.36</v>
      </c>
      <c r="D9" s="104">
        <f t="shared" si="0"/>
        <v>12762679967.36</v>
      </c>
      <c r="E9" s="104">
        <f t="shared" si="0"/>
        <v>2635488228.21</v>
      </c>
      <c r="F9" s="104">
        <f t="shared" si="0"/>
        <v>2621098843.65</v>
      </c>
      <c r="G9" s="104">
        <f t="shared" si="0"/>
        <v>10127191739.150002</v>
      </c>
    </row>
    <row r="10" spans="1:7" ht="15">
      <c r="A10" s="19" t="s">
        <v>385</v>
      </c>
      <c r="B10" s="105">
        <f aca="true" t="shared" si="1" ref="B10:G10">SUM(B11:B18)</f>
        <v>3860262442</v>
      </c>
      <c r="C10" s="105">
        <f t="shared" si="1"/>
        <v>63256540.77</v>
      </c>
      <c r="D10" s="105">
        <f t="shared" si="1"/>
        <v>3923518982.77</v>
      </c>
      <c r="E10" s="105">
        <f t="shared" si="1"/>
        <v>699916677.2700001</v>
      </c>
      <c r="F10" s="105">
        <f t="shared" si="1"/>
        <v>696222837.61</v>
      </c>
      <c r="G10" s="105">
        <f t="shared" si="1"/>
        <v>3223602305.5</v>
      </c>
    </row>
    <row r="11" spans="1:7" ht="15">
      <c r="A11" s="20" t="s">
        <v>386</v>
      </c>
      <c r="B11" s="105">
        <v>251680320</v>
      </c>
      <c r="C11" s="105">
        <v>0</v>
      </c>
      <c r="D11" s="105">
        <v>251680320</v>
      </c>
      <c r="E11" s="105">
        <v>64505640</v>
      </c>
      <c r="F11" s="105">
        <v>64505640</v>
      </c>
      <c r="G11" s="105">
        <f>D11-E11</f>
        <v>187174680</v>
      </c>
    </row>
    <row r="12" spans="1:7" ht="15">
      <c r="A12" s="20" t="s">
        <v>387</v>
      </c>
      <c r="B12" s="105">
        <v>1030182147</v>
      </c>
      <c r="C12" s="105">
        <v>1540189.32</v>
      </c>
      <c r="D12" s="105">
        <v>1031722336.32</v>
      </c>
      <c r="E12" s="105">
        <v>210951211.1</v>
      </c>
      <c r="F12" s="105">
        <v>210162689.48</v>
      </c>
      <c r="G12" s="105">
        <f aca="true" t="shared" si="2" ref="G12:G18">D12-E12</f>
        <v>820771125.22</v>
      </c>
    </row>
    <row r="13" spans="1:7" ht="15">
      <c r="A13" s="20" t="s">
        <v>388</v>
      </c>
      <c r="B13" s="105">
        <v>707928341</v>
      </c>
      <c r="C13" s="105">
        <v>40088740.03</v>
      </c>
      <c r="D13" s="105">
        <v>748017081.03</v>
      </c>
      <c r="E13" s="105">
        <v>126440978.19</v>
      </c>
      <c r="F13" s="105">
        <v>125206511.16</v>
      </c>
      <c r="G13" s="105">
        <f t="shared" si="2"/>
        <v>621576102.8399999</v>
      </c>
    </row>
    <row r="14" spans="1:7" ht="15">
      <c r="A14" s="20" t="s">
        <v>389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f t="shared" si="2"/>
        <v>0</v>
      </c>
    </row>
    <row r="15" spans="1:7" ht="15">
      <c r="A15" s="20" t="s">
        <v>390</v>
      </c>
      <c r="B15" s="105">
        <v>773127117</v>
      </c>
      <c r="C15" s="105">
        <v>903581.31</v>
      </c>
      <c r="D15" s="105">
        <v>774030698.31</v>
      </c>
      <c r="E15" s="105">
        <v>87047554.29</v>
      </c>
      <c r="F15" s="105">
        <v>86769961.87</v>
      </c>
      <c r="G15" s="105">
        <f t="shared" si="2"/>
        <v>686983144.02</v>
      </c>
    </row>
    <row r="16" spans="1:7" ht="15">
      <c r="A16" s="20" t="s">
        <v>391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f t="shared" si="2"/>
        <v>0</v>
      </c>
    </row>
    <row r="17" spans="1:7" ht="15">
      <c r="A17" s="20" t="s">
        <v>392</v>
      </c>
      <c r="B17" s="105">
        <v>778007413</v>
      </c>
      <c r="C17" s="105">
        <v>18544405.51</v>
      </c>
      <c r="D17" s="105">
        <v>796551818.51</v>
      </c>
      <c r="E17" s="105">
        <v>161488658.12</v>
      </c>
      <c r="F17" s="105">
        <v>160382909.02</v>
      </c>
      <c r="G17" s="105">
        <f t="shared" si="2"/>
        <v>635063160.39</v>
      </c>
    </row>
    <row r="18" spans="1:7" ht="15">
      <c r="A18" s="20" t="s">
        <v>393</v>
      </c>
      <c r="B18" s="105">
        <v>319337104</v>
      </c>
      <c r="C18" s="105">
        <v>2179624.6</v>
      </c>
      <c r="D18" s="105">
        <v>321516728.6</v>
      </c>
      <c r="E18" s="105">
        <v>49482635.57</v>
      </c>
      <c r="F18" s="105">
        <v>49195126.08</v>
      </c>
      <c r="G18" s="105">
        <f t="shared" si="2"/>
        <v>272034093.03000003</v>
      </c>
    </row>
    <row r="19" spans="1:7" ht="15">
      <c r="A19" s="19" t="s">
        <v>394</v>
      </c>
      <c r="B19" s="105">
        <f aca="true" t="shared" si="3" ref="B19:G19">SUM(B20:B26)</f>
        <v>4447648909</v>
      </c>
      <c r="C19" s="105">
        <f t="shared" si="3"/>
        <v>81640536.84</v>
      </c>
      <c r="D19" s="105">
        <f t="shared" si="3"/>
        <v>4529289445.84</v>
      </c>
      <c r="E19" s="105">
        <f t="shared" si="3"/>
        <v>903288363.56</v>
      </c>
      <c r="F19" s="105">
        <f t="shared" si="3"/>
        <v>901303895.16</v>
      </c>
      <c r="G19" s="105">
        <f t="shared" si="3"/>
        <v>3626001082.2800007</v>
      </c>
    </row>
    <row r="20" spans="1:7" ht="15">
      <c r="A20" s="20" t="s">
        <v>395</v>
      </c>
      <c r="B20" s="105">
        <v>51238844</v>
      </c>
      <c r="C20" s="105">
        <v>59827.11</v>
      </c>
      <c r="D20" s="105">
        <v>51298671.11</v>
      </c>
      <c r="E20" s="105">
        <v>10425089.02</v>
      </c>
      <c r="F20" s="105">
        <v>10382666.58</v>
      </c>
      <c r="G20" s="105">
        <f>D20-E20</f>
        <v>40873582.09</v>
      </c>
    </row>
    <row r="21" spans="1:7" ht="15">
      <c r="A21" s="20" t="s">
        <v>396</v>
      </c>
      <c r="B21" s="105">
        <v>387895817</v>
      </c>
      <c r="C21" s="105">
        <v>72896965.3</v>
      </c>
      <c r="D21" s="105">
        <v>460792782.3</v>
      </c>
      <c r="E21" s="105">
        <v>77928405.34</v>
      </c>
      <c r="F21" s="105">
        <v>77681600.72</v>
      </c>
      <c r="G21" s="105">
        <f aca="true" t="shared" si="4" ref="G21:G26">D21-E21</f>
        <v>382864376.96000004</v>
      </c>
    </row>
    <row r="22" spans="1:7" ht="15">
      <c r="A22" s="20" t="s">
        <v>397</v>
      </c>
      <c r="B22" s="105">
        <v>759227434</v>
      </c>
      <c r="C22" s="105">
        <v>3431460.04</v>
      </c>
      <c r="D22" s="105">
        <v>762658894.04</v>
      </c>
      <c r="E22" s="105">
        <v>157427226.91</v>
      </c>
      <c r="F22" s="105">
        <v>156687922.97</v>
      </c>
      <c r="G22" s="105">
        <f t="shared" si="4"/>
        <v>605231667.13</v>
      </c>
    </row>
    <row r="23" spans="1:7" ht="15">
      <c r="A23" s="20" t="s">
        <v>398</v>
      </c>
      <c r="B23" s="105">
        <v>292412952</v>
      </c>
      <c r="C23" s="105">
        <v>-30026032.86</v>
      </c>
      <c r="D23" s="105">
        <v>262386919.14</v>
      </c>
      <c r="E23" s="105">
        <v>55370701.35</v>
      </c>
      <c r="F23" s="105">
        <v>55225449.27</v>
      </c>
      <c r="G23" s="105">
        <f t="shared" si="4"/>
        <v>207016217.79</v>
      </c>
    </row>
    <row r="24" spans="1:7" ht="15">
      <c r="A24" s="20" t="s">
        <v>399</v>
      </c>
      <c r="B24" s="105">
        <v>2120662165</v>
      </c>
      <c r="C24" s="105">
        <v>26028440.75</v>
      </c>
      <c r="D24" s="105">
        <v>2146690605.75</v>
      </c>
      <c r="E24" s="105">
        <v>437238766.62</v>
      </c>
      <c r="F24" s="105">
        <v>436680356.64</v>
      </c>
      <c r="G24" s="105">
        <f t="shared" si="4"/>
        <v>1709451839.13</v>
      </c>
    </row>
    <row r="25" spans="1:7" ht="15">
      <c r="A25" s="20" t="s">
        <v>400</v>
      </c>
      <c r="B25" s="105">
        <v>313922844</v>
      </c>
      <c r="C25" s="105">
        <v>708418.15</v>
      </c>
      <c r="D25" s="105">
        <v>314631262.15</v>
      </c>
      <c r="E25" s="105">
        <v>102315023.39</v>
      </c>
      <c r="F25" s="105">
        <v>102311364.84</v>
      </c>
      <c r="G25" s="105">
        <f t="shared" si="4"/>
        <v>212316238.76</v>
      </c>
    </row>
    <row r="26" spans="1:7" ht="15">
      <c r="A26" s="20" t="s">
        <v>401</v>
      </c>
      <c r="B26" s="105">
        <v>522288853</v>
      </c>
      <c r="C26" s="105">
        <v>8541458.35</v>
      </c>
      <c r="D26" s="105">
        <v>530830311.35</v>
      </c>
      <c r="E26" s="105">
        <v>62583150.93</v>
      </c>
      <c r="F26" s="105">
        <v>62334534.14</v>
      </c>
      <c r="G26" s="105">
        <f t="shared" si="4"/>
        <v>468247160.42</v>
      </c>
    </row>
    <row r="27" spans="1:7" ht="15">
      <c r="A27" s="19" t="s">
        <v>402</v>
      </c>
      <c r="B27" s="105">
        <f aca="true" t="shared" si="5" ref="B27:G27">SUM(B28:B36)</f>
        <v>619388507</v>
      </c>
      <c r="C27" s="105">
        <f t="shared" si="5"/>
        <v>513920.16999999806</v>
      </c>
      <c r="D27" s="105">
        <f t="shared" si="5"/>
        <v>619902427.1700001</v>
      </c>
      <c r="E27" s="105">
        <f t="shared" si="5"/>
        <v>96540664.88</v>
      </c>
      <c r="F27" s="105">
        <f t="shared" si="5"/>
        <v>91534558.38</v>
      </c>
      <c r="G27" s="105">
        <f t="shared" si="5"/>
        <v>523361762.2900001</v>
      </c>
    </row>
    <row r="28" spans="1:7" ht="15">
      <c r="A28" s="35" t="s">
        <v>403</v>
      </c>
      <c r="B28" s="105">
        <v>99450353</v>
      </c>
      <c r="C28" s="105">
        <v>-268857.48</v>
      </c>
      <c r="D28" s="105">
        <v>99181495.52</v>
      </c>
      <c r="E28" s="105">
        <v>18955941.16</v>
      </c>
      <c r="F28" s="105">
        <v>18865690.67</v>
      </c>
      <c r="G28" s="105">
        <f>D28-E28</f>
        <v>80225554.36</v>
      </c>
    </row>
    <row r="29" spans="1:7" ht="15">
      <c r="A29" s="20" t="s">
        <v>404</v>
      </c>
      <c r="B29" s="105">
        <v>242093358</v>
      </c>
      <c r="C29" s="105">
        <v>3462311.1</v>
      </c>
      <c r="D29" s="105">
        <v>245555669.1</v>
      </c>
      <c r="E29" s="105">
        <v>32769511.29</v>
      </c>
      <c r="F29" s="105">
        <v>32633241.38</v>
      </c>
      <c r="G29" s="105">
        <f aca="true" t="shared" si="6" ref="G29:G35">D29-E29</f>
        <v>212786157.81</v>
      </c>
    </row>
    <row r="30" spans="1:7" ht="15">
      <c r="A30" s="20" t="s">
        <v>405</v>
      </c>
      <c r="B30" s="105">
        <v>77816023</v>
      </c>
      <c r="C30" s="105">
        <v>-3849</v>
      </c>
      <c r="D30" s="105">
        <v>77812174</v>
      </c>
      <c r="E30" s="105">
        <v>1888283.22</v>
      </c>
      <c r="F30" s="105">
        <v>1873061.6</v>
      </c>
      <c r="G30" s="105">
        <f t="shared" si="6"/>
        <v>75923890.78</v>
      </c>
    </row>
    <row r="31" spans="1:7" ht="15">
      <c r="A31" s="20" t="s">
        <v>406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f t="shared" si="6"/>
        <v>0</v>
      </c>
    </row>
    <row r="32" spans="1:7" ht="15">
      <c r="A32" s="20" t="s">
        <v>407</v>
      </c>
      <c r="B32" s="105">
        <v>9420992</v>
      </c>
      <c r="C32" s="105">
        <v>-31979.65</v>
      </c>
      <c r="D32" s="105">
        <v>9389012.35</v>
      </c>
      <c r="E32" s="105">
        <v>1578607.98</v>
      </c>
      <c r="F32" s="105">
        <v>1564581.39</v>
      </c>
      <c r="G32" s="105">
        <f t="shared" si="6"/>
        <v>7810404.369999999</v>
      </c>
    </row>
    <row r="33" spans="1:7" ht="15">
      <c r="A33" s="20" t="s">
        <v>408</v>
      </c>
      <c r="B33" s="105">
        <v>49378304</v>
      </c>
      <c r="C33" s="105">
        <v>16876397.33</v>
      </c>
      <c r="D33" s="105">
        <v>66254701.33</v>
      </c>
      <c r="E33" s="105">
        <v>21716820.1</v>
      </c>
      <c r="F33" s="105">
        <v>17051401.64</v>
      </c>
      <c r="G33" s="105">
        <f t="shared" si="6"/>
        <v>44537881.23</v>
      </c>
    </row>
    <row r="34" spans="1:7" ht="15">
      <c r="A34" s="20" t="s">
        <v>409</v>
      </c>
      <c r="B34" s="105">
        <v>124631291</v>
      </c>
      <c r="C34" s="105">
        <v>-19520102.13</v>
      </c>
      <c r="D34" s="105">
        <v>105111188.87</v>
      </c>
      <c r="E34" s="105">
        <v>16374145.3</v>
      </c>
      <c r="F34" s="105">
        <v>16316893.24</v>
      </c>
      <c r="G34" s="105">
        <f t="shared" si="6"/>
        <v>88737043.57000001</v>
      </c>
    </row>
    <row r="35" spans="1:7" ht="15">
      <c r="A35" s="20" t="s">
        <v>410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f t="shared" si="6"/>
        <v>0</v>
      </c>
    </row>
    <row r="36" spans="1:7" ht="15">
      <c r="A36" s="20" t="s">
        <v>411</v>
      </c>
      <c r="B36" s="105">
        <v>16598186</v>
      </c>
      <c r="C36" s="105">
        <v>0</v>
      </c>
      <c r="D36" s="105">
        <v>16598186</v>
      </c>
      <c r="E36" s="105">
        <v>3257355.83</v>
      </c>
      <c r="F36" s="105">
        <v>3229688.46</v>
      </c>
      <c r="G36" s="105">
        <f>D36-E36</f>
        <v>13340830.17</v>
      </c>
    </row>
    <row r="37" spans="1:7" ht="30">
      <c r="A37" s="32" t="s">
        <v>412</v>
      </c>
      <c r="B37" s="105">
        <f aca="true" t="shared" si="7" ref="B37:G37">SUM(B38:B41)</f>
        <v>3633446953</v>
      </c>
      <c r="C37" s="105">
        <f t="shared" si="7"/>
        <v>56522158.58</v>
      </c>
      <c r="D37" s="105">
        <f t="shared" si="7"/>
        <v>3689969111.58</v>
      </c>
      <c r="E37" s="105">
        <f t="shared" si="7"/>
        <v>935742522.5</v>
      </c>
      <c r="F37" s="105">
        <f t="shared" si="7"/>
        <v>932037552.5</v>
      </c>
      <c r="G37" s="105">
        <f t="shared" si="7"/>
        <v>2754226589.08</v>
      </c>
    </row>
    <row r="38" spans="1:7" ht="15">
      <c r="A38" s="35" t="s">
        <v>413</v>
      </c>
      <c r="B38" s="105">
        <v>359358843</v>
      </c>
      <c r="C38" s="105">
        <v>0</v>
      </c>
      <c r="D38" s="105">
        <v>359358843</v>
      </c>
      <c r="E38" s="105">
        <v>86830676.36</v>
      </c>
      <c r="F38" s="105">
        <v>86830676.36</v>
      </c>
      <c r="G38" s="105">
        <f>+D38-E38</f>
        <v>272528166.64</v>
      </c>
    </row>
    <row r="39" spans="1:7" ht="30">
      <c r="A39" s="35" t="s">
        <v>414</v>
      </c>
      <c r="B39" s="105">
        <v>3224088110</v>
      </c>
      <c r="C39" s="105">
        <v>56522158.58</v>
      </c>
      <c r="D39" s="105">
        <v>3280610268.58</v>
      </c>
      <c r="E39" s="105">
        <v>848911846.14</v>
      </c>
      <c r="F39" s="105">
        <v>845206876.14</v>
      </c>
      <c r="G39" s="105">
        <f>+D39-E39</f>
        <v>2431698422.44</v>
      </c>
    </row>
    <row r="40" spans="1:7" ht="15">
      <c r="A40" s="35" t="s">
        <v>415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f>+D40-E40</f>
        <v>0</v>
      </c>
    </row>
    <row r="41" spans="1:7" ht="15">
      <c r="A41" s="35" t="s">
        <v>416</v>
      </c>
      <c r="B41" s="105">
        <v>50000000</v>
      </c>
      <c r="C41" s="105">
        <v>0</v>
      </c>
      <c r="D41" s="105">
        <v>50000000</v>
      </c>
      <c r="E41" s="105">
        <v>0</v>
      </c>
      <c r="F41" s="105">
        <v>0</v>
      </c>
      <c r="G41" s="105">
        <f>+D41-E41</f>
        <v>50000000</v>
      </c>
    </row>
    <row r="42" spans="1:7" ht="15">
      <c r="A42" s="35"/>
      <c r="B42" s="105"/>
      <c r="C42" s="105"/>
      <c r="D42" s="105"/>
      <c r="E42" s="105"/>
      <c r="F42" s="105"/>
      <c r="G42" s="105"/>
    </row>
    <row r="43" spans="1:7" ht="15">
      <c r="A43" s="22" t="s">
        <v>417</v>
      </c>
      <c r="B43" s="106">
        <f aca="true" t="shared" si="8" ref="B43:G43">SUM(B44,B53,B61,B71)</f>
        <v>12265972110</v>
      </c>
      <c r="C43" s="106">
        <f t="shared" si="8"/>
        <v>899345980.67</v>
      </c>
      <c r="D43" s="106">
        <f t="shared" si="8"/>
        <v>13165318090.67</v>
      </c>
      <c r="E43" s="106">
        <f t="shared" si="8"/>
        <v>3210484294.83</v>
      </c>
      <c r="F43" s="106">
        <f t="shared" si="8"/>
        <v>3210484294.83</v>
      </c>
      <c r="G43" s="106">
        <f t="shared" si="8"/>
        <v>9954833795.84</v>
      </c>
    </row>
    <row r="44" spans="1:7" ht="15">
      <c r="A44" s="19" t="s">
        <v>418</v>
      </c>
      <c r="B44" s="105">
        <f aca="true" t="shared" si="9" ref="B44:G44">SUM(B45:B52)</f>
        <v>246132775</v>
      </c>
      <c r="C44" s="105">
        <f t="shared" si="9"/>
        <v>58544150.07</v>
      </c>
      <c r="D44" s="105">
        <f t="shared" si="9"/>
        <v>304676925.07</v>
      </c>
      <c r="E44" s="105">
        <f t="shared" si="9"/>
        <v>51903996</v>
      </c>
      <c r="F44" s="105">
        <f t="shared" si="9"/>
        <v>51903996</v>
      </c>
      <c r="G44" s="105">
        <f t="shared" si="9"/>
        <v>252772929.07</v>
      </c>
    </row>
    <row r="45" spans="1:7" ht="15">
      <c r="A45" s="35" t="s">
        <v>386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f>D45-E45</f>
        <v>0</v>
      </c>
    </row>
    <row r="46" spans="1:7" ht="15">
      <c r="A46" s="35" t="s">
        <v>387</v>
      </c>
      <c r="B46" s="105">
        <v>58993879</v>
      </c>
      <c r="C46" s="105">
        <v>7766469.95</v>
      </c>
      <c r="D46" s="105">
        <v>66760348.95</v>
      </c>
      <c r="E46" s="105">
        <v>6464848.89</v>
      </c>
      <c r="F46" s="105">
        <v>6464848.89</v>
      </c>
      <c r="G46" s="105">
        <f aca="true" t="shared" si="10" ref="G46:G52">D46-E46</f>
        <v>60295500.06</v>
      </c>
    </row>
    <row r="47" spans="1:7" ht="15">
      <c r="A47" s="35" t="s">
        <v>388</v>
      </c>
      <c r="B47" s="105">
        <v>0</v>
      </c>
      <c r="C47" s="105">
        <v>11412704.74</v>
      </c>
      <c r="D47" s="105">
        <v>11412704.74</v>
      </c>
      <c r="E47" s="105">
        <v>11412704.74</v>
      </c>
      <c r="F47" s="105">
        <v>11412704.74</v>
      </c>
      <c r="G47" s="105">
        <f t="shared" si="10"/>
        <v>0</v>
      </c>
    </row>
    <row r="48" spans="1:7" ht="15">
      <c r="A48" s="35" t="s">
        <v>389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f t="shared" si="10"/>
        <v>0</v>
      </c>
    </row>
    <row r="49" spans="1:7" ht="15">
      <c r="A49" s="35" t="s">
        <v>390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f t="shared" si="10"/>
        <v>0</v>
      </c>
    </row>
    <row r="50" spans="1:7" ht="15">
      <c r="A50" s="35" t="s">
        <v>391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f t="shared" si="10"/>
        <v>0</v>
      </c>
    </row>
    <row r="51" spans="1:7" ht="15">
      <c r="A51" s="35" t="s">
        <v>392</v>
      </c>
      <c r="B51" s="105">
        <v>177138896</v>
      </c>
      <c r="C51" s="105">
        <v>36860885.64</v>
      </c>
      <c r="D51" s="105">
        <v>213999781.64</v>
      </c>
      <c r="E51" s="105">
        <v>31564965.65</v>
      </c>
      <c r="F51" s="105">
        <v>31564965.65</v>
      </c>
      <c r="G51" s="105">
        <f t="shared" si="10"/>
        <v>182434815.98999998</v>
      </c>
    </row>
    <row r="52" spans="1:7" ht="15">
      <c r="A52" s="35" t="s">
        <v>393</v>
      </c>
      <c r="B52" s="105">
        <v>10000000</v>
      </c>
      <c r="C52" s="105">
        <v>2504089.74</v>
      </c>
      <c r="D52" s="105">
        <v>12504089.74</v>
      </c>
      <c r="E52" s="105">
        <v>2461476.72</v>
      </c>
      <c r="F52" s="105">
        <v>2461476.72</v>
      </c>
      <c r="G52" s="105">
        <f t="shared" si="10"/>
        <v>10042613.02</v>
      </c>
    </row>
    <row r="53" spans="1:7" ht="15">
      <c r="A53" s="19" t="s">
        <v>394</v>
      </c>
      <c r="B53" s="105">
        <f aca="true" t="shared" si="11" ref="B53:G53">SUM(B54:B60)</f>
        <v>9665120316</v>
      </c>
      <c r="C53" s="105">
        <f t="shared" si="11"/>
        <v>809625907.76</v>
      </c>
      <c r="D53" s="105">
        <f t="shared" si="11"/>
        <v>10474746223.76</v>
      </c>
      <c r="E53" s="105">
        <f t="shared" si="11"/>
        <v>2528709229.17</v>
      </c>
      <c r="F53" s="105">
        <f t="shared" si="11"/>
        <v>2528709229.17</v>
      </c>
      <c r="G53" s="105">
        <f t="shared" si="11"/>
        <v>7946036994.59</v>
      </c>
    </row>
    <row r="54" spans="1:7" ht="15">
      <c r="A54" s="35" t="s">
        <v>395</v>
      </c>
      <c r="B54" s="105">
        <v>14000000</v>
      </c>
      <c r="C54" s="105">
        <v>13313344.59</v>
      </c>
      <c r="D54" s="105">
        <v>27313344.59</v>
      </c>
      <c r="E54" s="105">
        <v>13313344.59</v>
      </c>
      <c r="F54" s="105">
        <v>13313344.59</v>
      </c>
      <c r="G54" s="105">
        <f>D54-E54</f>
        <v>14000000</v>
      </c>
    </row>
    <row r="55" spans="1:7" ht="15">
      <c r="A55" s="35" t="s">
        <v>396</v>
      </c>
      <c r="B55" s="105">
        <v>404527852</v>
      </c>
      <c r="C55" s="105">
        <v>20688190.72</v>
      </c>
      <c r="D55" s="105">
        <v>425216042.72</v>
      </c>
      <c r="E55" s="105">
        <v>23465557.11</v>
      </c>
      <c r="F55" s="105">
        <v>23465557.11</v>
      </c>
      <c r="G55" s="105">
        <f aca="true" t="shared" si="12" ref="G55:G60">D55-E55</f>
        <v>401750485.61</v>
      </c>
    </row>
    <row r="56" spans="1:7" ht="15">
      <c r="A56" s="35" t="s">
        <v>397</v>
      </c>
      <c r="B56" s="105">
        <v>2070930170</v>
      </c>
      <c r="C56" s="105">
        <v>90588685.34</v>
      </c>
      <c r="D56" s="105">
        <v>2161518855.34</v>
      </c>
      <c r="E56" s="105">
        <v>583374363.1</v>
      </c>
      <c r="F56" s="105">
        <v>583374363.1</v>
      </c>
      <c r="G56" s="105">
        <f t="shared" si="12"/>
        <v>1578144492.2400002</v>
      </c>
    </row>
    <row r="57" spans="1:7" ht="15">
      <c r="A57" s="36" t="s">
        <v>398</v>
      </c>
      <c r="B57" s="105">
        <v>56451779</v>
      </c>
      <c r="C57" s="105">
        <v>37167496.12</v>
      </c>
      <c r="D57" s="105">
        <v>93619275.12</v>
      </c>
      <c r="E57" s="105">
        <v>34321493.34</v>
      </c>
      <c r="F57" s="105">
        <v>34321493.34</v>
      </c>
      <c r="G57" s="105">
        <f t="shared" si="12"/>
        <v>59297781.78</v>
      </c>
    </row>
    <row r="58" spans="1:7" ht="15">
      <c r="A58" s="35" t="s">
        <v>399</v>
      </c>
      <c r="B58" s="105">
        <v>6760493276</v>
      </c>
      <c r="C58" s="105">
        <v>639007042.99</v>
      </c>
      <c r="D58" s="105">
        <v>7399500318.99</v>
      </c>
      <c r="E58" s="105">
        <v>1783089875.03</v>
      </c>
      <c r="F58" s="105">
        <v>1783089875.03</v>
      </c>
      <c r="G58" s="105">
        <f t="shared" si="12"/>
        <v>5616410443.96</v>
      </c>
    </row>
    <row r="59" spans="1:7" ht="15">
      <c r="A59" s="35" t="s">
        <v>400</v>
      </c>
      <c r="B59" s="105">
        <v>340717239</v>
      </c>
      <c r="C59" s="105">
        <v>8861148</v>
      </c>
      <c r="D59" s="105">
        <v>349578387</v>
      </c>
      <c r="E59" s="105">
        <v>91144596</v>
      </c>
      <c r="F59" s="105">
        <v>91144596</v>
      </c>
      <c r="G59" s="105">
        <f t="shared" si="12"/>
        <v>258433791</v>
      </c>
    </row>
    <row r="60" spans="1:7" ht="15">
      <c r="A60" s="35" t="s">
        <v>401</v>
      </c>
      <c r="B60" s="105">
        <v>18000000</v>
      </c>
      <c r="C60" s="105">
        <v>0</v>
      </c>
      <c r="D60" s="105">
        <v>18000000</v>
      </c>
      <c r="E60" s="105">
        <v>0</v>
      </c>
      <c r="F60" s="105">
        <v>0</v>
      </c>
      <c r="G60" s="105">
        <f t="shared" si="12"/>
        <v>18000000</v>
      </c>
    </row>
    <row r="61" spans="1:7" ht="15">
      <c r="A61" s="19" t="s">
        <v>402</v>
      </c>
      <c r="B61" s="105">
        <f aca="true" t="shared" si="13" ref="B61:G61">SUM(B62:B70)</f>
        <v>195469103</v>
      </c>
      <c r="C61" s="105">
        <f t="shared" si="13"/>
        <v>26342968.03</v>
      </c>
      <c r="D61" s="105">
        <f t="shared" si="13"/>
        <v>221812071.03</v>
      </c>
      <c r="E61" s="105">
        <f t="shared" si="13"/>
        <v>26578123.450000003</v>
      </c>
      <c r="F61" s="105">
        <f t="shared" si="13"/>
        <v>26578123.450000003</v>
      </c>
      <c r="G61" s="105">
        <f t="shared" si="13"/>
        <v>195233947.57999998</v>
      </c>
    </row>
    <row r="62" spans="1:7" ht="15">
      <c r="A62" s="35" t="s">
        <v>403</v>
      </c>
      <c r="B62" s="105">
        <v>0</v>
      </c>
      <c r="C62" s="105">
        <v>14902349.91</v>
      </c>
      <c r="D62" s="105">
        <v>14902349.91</v>
      </c>
      <c r="E62" s="105">
        <v>14902349.91</v>
      </c>
      <c r="F62" s="105">
        <v>14902349.91</v>
      </c>
      <c r="G62" s="105">
        <f>D62-E62</f>
        <v>0</v>
      </c>
    </row>
    <row r="63" spans="1:7" ht="15">
      <c r="A63" s="35" t="s">
        <v>404</v>
      </c>
      <c r="B63" s="105">
        <v>23897547</v>
      </c>
      <c r="C63" s="105">
        <v>4212895.9</v>
      </c>
      <c r="D63" s="105">
        <v>28110442.9</v>
      </c>
      <c r="E63" s="105">
        <v>4448051.33</v>
      </c>
      <c r="F63" s="105">
        <v>4448051.33</v>
      </c>
      <c r="G63" s="105">
        <f aca="true" t="shared" si="14" ref="G63:G70">D63-E63</f>
        <v>23662391.57</v>
      </c>
    </row>
    <row r="64" spans="1:7" ht="15">
      <c r="A64" s="35" t="s">
        <v>405</v>
      </c>
      <c r="B64" s="105">
        <v>22000000</v>
      </c>
      <c r="C64" s="105">
        <v>0</v>
      </c>
      <c r="D64" s="105">
        <v>22000000</v>
      </c>
      <c r="E64" s="105">
        <v>0</v>
      </c>
      <c r="F64" s="105">
        <v>0</v>
      </c>
      <c r="G64" s="105">
        <f t="shared" si="14"/>
        <v>22000000</v>
      </c>
    </row>
    <row r="65" spans="1:7" ht="15">
      <c r="A65" s="35" t="s">
        <v>406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f t="shared" si="14"/>
        <v>0</v>
      </c>
    </row>
    <row r="66" spans="1:7" ht="15">
      <c r="A66" s="35" t="s">
        <v>407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f t="shared" si="14"/>
        <v>0</v>
      </c>
    </row>
    <row r="67" spans="1:7" ht="15">
      <c r="A67" s="35" t="s">
        <v>408</v>
      </c>
      <c r="B67" s="105">
        <v>149571556</v>
      </c>
      <c r="C67" s="105">
        <v>1584549.34</v>
      </c>
      <c r="D67" s="105">
        <v>151156105.34</v>
      </c>
      <c r="E67" s="105">
        <v>1584549.34</v>
      </c>
      <c r="F67" s="105">
        <v>1584549.34</v>
      </c>
      <c r="G67" s="105">
        <f t="shared" si="14"/>
        <v>149571556</v>
      </c>
    </row>
    <row r="68" spans="1:7" ht="15">
      <c r="A68" s="35" t="s">
        <v>409</v>
      </c>
      <c r="B68" s="105">
        <v>0</v>
      </c>
      <c r="C68" s="105">
        <v>5643172.88</v>
      </c>
      <c r="D68" s="105">
        <v>5643172.88</v>
      </c>
      <c r="E68" s="105">
        <v>5643172.87</v>
      </c>
      <c r="F68" s="105">
        <v>5643172.87</v>
      </c>
      <c r="G68" s="105">
        <f t="shared" si="14"/>
        <v>0.009999999776482582</v>
      </c>
    </row>
    <row r="69" spans="1:7" ht="15">
      <c r="A69" s="35" t="s">
        <v>410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f t="shared" si="14"/>
        <v>0</v>
      </c>
    </row>
    <row r="70" spans="1:7" ht="15">
      <c r="A70" s="35" t="s">
        <v>411</v>
      </c>
      <c r="B70" s="105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f t="shared" si="14"/>
        <v>0</v>
      </c>
    </row>
    <row r="71" spans="1:7" ht="15">
      <c r="A71" s="32" t="s">
        <v>419</v>
      </c>
      <c r="B71" s="107">
        <f aca="true" t="shared" si="15" ref="B71:G71">SUM(B72:B75)</f>
        <v>2159249916</v>
      </c>
      <c r="C71" s="107">
        <f t="shared" si="15"/>
        <v>4832954.81</v>
      </c>
      <c r="D71" s="107">
        <f t="shared" si="15"/>
        <v>2164082870.81</v>
      </c>
      <c r="E71" s="107">
        <f t="shared" si="15"/>
        <v>603292946.21</v>
      </c>
      <c r="F71" s="107">
        <f t="shared" si="15"/>
        <v>603292946.21</v>
      </c>
      <c r="G71" s="107">
        <f t="shared" si="15"/>
        <v>1560789924.6</v>
      </c>
    </row>
    <row r="72" spans="1:7" ht="15">
      <c r="A72" s="35" t="s">
        <v>413</v>
      </c>
      <c r="B72" s="105">
        <v>0</v>
      </c>
      <c r="C72" s="105">
        <v>0</v>
      </c>
      <c r="D72" s="105">
        <v>0</v>
      </c>
      <c r="E72" s="105">
        <v>0</v>
      </c>
      <c r="F72" s="105">
        <v>0</v>
      </c>
      <c r="G72" s="105">
        <f>D72-E72</f>
        <v>0</v>
      </c>
    </row>
    <row r="73" spans="1:7" ht="30">
      <c r="A73" s="35" t="s">
        <v>414</v>
      </c>
      <c r="B73" s="105">
        <v>2159249916</v>
      </c>
      <c r="C73" s="105">
        <v>4832954.81</v>
      </c>
      <c r="D73" s="105">
        <v>2164082870.81</v>
      </c>
      <c r="E73" s="105">
        <v>603292946.21</v>
      </c>
      <c r="F73" s="105">
        <v>603292946.21</v>
      </c>
      <c r="G73" s="105">
        <f>D73-E73</f>
        <v>1560789924.6</v>
      </c>
    </row>
    <row r="74" spans="1:7" ht="15">
      <c r="A74" s="35" t="s">
        <v>415</v>
      </c>
      <c r="B74" s="105">
        <v>0</v>
      </c>
      <c r="C74" s="105">
        <v>0</v>
      </c>
      <c r="D74" s="105">
        <v>0</v>
      </c>
      <c r="E74" s="105">
        <v>0</v>
      </c>
      <c r="F74" s="105">
        <v>0</v>
      </c>
      <c r="G74" s="105">
        <f>D74-E74</f>
        <v>0</v>
      </c>
    </row>
    <row r="75" spans="1:7" ht="15">
      <c r="A75" s="35" t="s">
        <v>416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f>D75-E75</f>
        <v>0</v>
      </c>
    </row>
    <row r="76" spans="1:7" ht="15">
      <c r="A76" s="33"/>
      <c r="B76" s="108"/>
      <c r="C76" s="108"/>
      <c r="D76" s="108"/>
      <c r="E76" s="108"/>
      <c r="F76" s="108"/>
      <c r="G76" s="108"/>
    </row>
    <row r="77" spans="1:7" ht="15">
      <c r="A77" s="22" t="s">
        <v>374</v>
      </c>
      <c r="B77" s="106">
        <f aca="true" t="shared" si="16" ref="B77:G77">B43+B9</f>
        <v>24826718921</v>
      </c>
      <c r="C77" s="106">
        <f t="shared" si="16"/>
        <v>1101279137.03</v>
      </c>
      <c r="D77" s="106">
        <f t="shared" si="16"/>
        <v>25927998058.03</v>
      </c>
      <c r="E77" s="106">
        <f t="shared" si="16"/>
        <v>5845972523.04</v>
      </c>
      <c r="F77" s="106">
        <f t="shared" si="16"/>
        <v>5831583138.48</v>
      </c>
      <c r="G77" s="106">
        <f t="shared" si="16"/>
        <v>20082025534.99</v>
      </c>
    </row>
    <row r="78" spans="1:7" ht="15">
      <c r="A78" s="34"/>
      <c r="B78" s="117"/>
      <c r="C78" s="117"/>
      <c r="D78" s="117"/>
      <c r="E78" s="117"/>
      <c r="F78" s="117"/>
      <c r="G78" s="118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B37 G28:G36 B27:F27 B19:F19 G10:G18 B10:F10 B9:C9 D9:IV9 G38:G41 C37:F37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90" zoomScaleNormal="80" zoomScaleSheetLayoutView="90" zoomScalePageLayoutView="0" workbookViewId="0" topLeftCell="A1">
      <pane xSplit="1" topLeftCell="E1" activePane="topRight" state="frozen"/>
      <selection pane="topLeft" activeCell="A1" sqref="A1"/>
      <selection pane="topRight" activeCell="IV21" sqref="IV21"/>
    </sheetView>
  </sheetViews>
  <sheetFormatPr defaultColWidth="0.71875" defaultRowHeight="15" zeroHeight="1"/>
  <cols>
    <col min="1" max="1" width="77.140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64" t="s">
        <v>420</v>
      </c>
      <c r="B1" s="161"/>
      <c r="C1" s="161"/>
      <c r="D1" s="161"/>
      <c r="E1" s="161"/>
      <c r="F1" s="161"/>
      <c r="G1" s="161"/>
    </row>
    <row r="2" spans="1:7" ht="15">
      <c r="A2" s="142" t="s">
        <v>289</v>
      </c>
      <c r="B2" s="143"/>
      <c r="C2" s="143"/>
      <c r="D2" s="143"/>
      <c r="E2" s="143"/>
      <c r="F2" s="143"/>
      <c r="G2" s="144"/>
    </row>
    <row r="3" spans="1:7" ht="15">
      <c r="A3" s="148" t="s">
        <v>291</v>
      </c>
      <c r="B3" s="149"/>
      <c r="C3" s="149"/>
      <c r="D3" s="149"/>
      <c r="E3" s="149"/>
      <c r="F3" s="149"/>
      <c r="G3" s="150"/>
    </row>
    <row r="4" spans="1:7" ht="15">
      <c r="A4" s="148" t="s">
        <v>421</v>
      </c>
      <c r="B4" s="149"/>
      <c r="C4" s="149"/>
      <c r="D4" s="149"/>
      <c r="E4" s="149"/>
      <c r="F4" s="149"/>
      <c r="G4" s="150"/>
    </row>
    <row r="5" spans="1:7" ht="15">
      <c r="A5" s="148" t="s">
        <v>480</v>
      </c>
      <c r="B5" s="149"/>
      <c r="C5" s="149"/>
      <c r="D5" s="149"/>
      <c r="E5" s="149"/>
      <c r="F5" s="149"/>
      <c r="G5" s="150"/>
    </row>
    <row r="6" spans="1:7" ht="15">
      <c r="A6" s="151" t="s">
        <v>2</v>
      </c>
      <c r="B6" s="152"/>
      <c r="C6" s="152"/>
      <c r="D6" s="152"/>
      <c r="E6" s="152"/>
      <c r="F6" s="152"/>
      <c r="G6" s="153"/>
    </row>
    <row r="7" spans="1:7" ht="15">
      <c r="A7" s="158" t="s">
        <v>422</v>
      </c>
      <c r="B7" s="162" t="s">
        <v>293</v>
      </c>
      <c r="C7" s="162"/>
      <c r="D7" s="162"/>
      <c r="E7" s="162"/>
      <c r="F7" s="162"/>
      <c r="G7" s="162" t="s">
        <v>294</v>
      </c>
    </row>
    <row r="8" spans="1:7" ht="30">
      <c r="A8" s="159"/>
      <c r="B8" s="6" t="s">
        <v>295</v>
      </c>
      <c r="C8" s="30" t="s">
        <v>383</v>
      </c>
      <c r="D8" s="30" t="s">
        <v>227</v>
      </c>
      <c r="E8" s="30" t="s">
        <v>182</v>
      </c>
      <c r="F8" s="30" t="s">
        <v>199</v>
      </c>
      <c r="G8" s="168"/>
    </row>
    <row r="9" spans="1:7" ht="15">
      <c r="A9" s="18" t="s">
        <v>423</v>
      </c>
      <c r="B9" s="109">
        <f aca="true" t="shared" si="0" ref="B9:G9">SUM(B10,B11,B12,B15,B16,B19)</f>
        <v>2907487588</v>
      </c>
      <c r="C9" s="109">
        <f t="shared" si="0"/>
        <v>7153798.800000002</v>
      </c>
      <c r="D9" s="109">
        <f t="shared" si="0"/>
        <v>2914641386.7999997</v>
      </c>
      <c r="E9" s="109">
        <f t="shared" si="0"/>
        <v>592830794.1100008</v>
      </c>
      <c r="F9" s="109">
        <f>SUM(F10,F11,F12,F15,F16,F19)</f>
        <v>587443447.1100008</v>
      </c>
      <c r="G9" s="109">
        <f t="shared" si="0"/>
        <v>2321810592.6899986</v>
      </c>
    </row>
    <row r="10" spans="1:7" ht="15">
      <c r="A10" s="19" t="s">
        <v>424</v>
      </c>
      <c r="B10" s="110">
        <v>1873552210</v>
      </c>
      <c r="C10" s="110">
        <v>-1779044.1000000024</v>
      </c>
      <c r="D10" s="110">
        <v>1871773165.8999996</v>
      </c>
      <c r="E10" s="110">
        <v>362760080.07000077</v>
      </c>
      <c r="F10" s="110">
        <v>359433538.84000087</v>
      </c>
      <c r="G10" s="110">
        <f>D10-E10</f>
        <v>1509013085.829999</v>
      </c>
    </row>
    <row r="11" spans="1:7" ht="15">
      <c r="A11" s="19" t="s">
        <v>425</v>
      </c>
      <c r="B11" s="110">
        <v>105953415</v>
      </c>
      <c r="C11" s="110">
        <v>-4269051.85</v>
      </c>
      <c r="D11" s="110">
        <v>101684363.14999999</v>
      </c>
      <c r="E11" s="110">
        <v>18878536.88</v>
      </c>
      <c r="F11" s="110">
        <v>18704096.659999996</v>
      </c>
      <c r="G11" s="110">
        <f>D11-E11</f>
        <v>82805826.27</v>
      </c>
    </row>
    <row r="12" spans="1:7" ht="15">
      <c r="A12" s="19" t="s">
        <v>426</v>
      </c>
      <c r="B12" s="110">
        <f aca="true" t="shared" si="1" ref="B12:G12">B13+B14</f>
        <v>267272715</v>
      </c>
      <c r="C12" s="110">
        <f t="shared" si="1"/>
        <v>510446.92000000004</v>
      </c>
      <c r="D12" s="110">
        <f aca="true" t="shared" si="2" ref="D12:D18">+B12+C12</f>
        <v>267783161.92</v>
      </c>
      <c r="E12" s="110">
        <f t="shared" si="1"/>
        <v>64555201.47</v>
      </c>
      <c r="F12" s="110">
        <f t="shared" si="1"/>
        <v>63918424.27</v>
      </c>
      <c r="G12" s="110">
        <f t="shared" si="1"/>
        <v>203227960.45000005</v>
      </c>
    </row>
    <row r="13" spans="1:7" ht="15">
      <c r="A13" s="20" t="s">
        <v>427</v>
      </c>
      <c r="B13" s="110">
        <v>47803628</v>
      </c>
      <c r="C13" s="110">
        <v>632563.5700000001</v>
      </c>
      <c r="D13" s="110">
        <v>48436191.57000001</v>
      </c>
      <c r="E13" s="110">
        <v>10145559.209999999</v>
      </c>
      <c r="F13" s="110">
        <v>10055692.42</v>
      </c>
      <c r="G13" s="110">
        <f>D13-E13</f>
        <v>38290632.36000001</v>
      </c>
    </row>
    <row r="14" spans="1:7" ht="15">
      <c r="A14" s="20" t="s">
        <v>428</v>
      </c>
      <c r="B14" s="110">
        <v>219469087</v>
      </c>
      <c r="C14" s="110">
        <v>-122116.65000000005</v>
      </c>
      <c r="D14" s="110">
        <v>219346970.35000002</v>
      </c>
      <c r="E14" s="110">
        <v>54409642.26</v>
      </c>
      <c r="F14" s="110">
        <v>53862731.85</v>
      </c>
      <c r="G14" s="110">
        <f>D14-E14</f>
        <v>164937328.09000003</v>
      </c>
    </row>
    <row r="15" spans="1:7" ht="15">
      <c r="A15" s="19" t="s">
        <v>429</v>
      </c>
      <c r="B15" s="110">
        <v>660709248</v>
      </c>
      <c r="C15" s="110">
        <v>12691447.830000004</v>
      </c>
      <c r="D15" s="131">
        <v>673400695.8299999</v>
      </c>
      <c r="E15" s="110">
        <v>146636975.69000003</v>
      </c>
      <c r="F15" s="131">
        <v>145387387.34</v>
      </c>
      <c r="G15" s="110">
        <f>D15-E15</f>
        <v>526763720.13999987</v>
      </c>
    </row>
    <row r="16" spans="1:7" ht="30">
      <c r="A16" s="32" t="s">
        <v>430</v>
      </c>
      <c r="B16" s="110">
        <f aca="true" t="shared" si="3" ref="B16:G16">B17+B18</f>
        <v>0</v>
      </c>
      <c r="C16" s="110">
        <f t="shared" si="3"/>
        <v>0</v>
      </c>
      <c r="D16" s="110">
        <f t="shared" si="2"/>
        <v>0</v>
      </c>
      <c r="E16" s="110">
        <f t="shared" si="3"/>
        <v>0</v>
      </c>
      <c r="F16" s="110">
        <f t="shared" si="3"/>
        <v>0</v>
      </c>
      <c r="G16" s="110">
        <f t="shared" si="3"/>
        <v>0</v>
      </c>
    </row>
    <row r="17" spans="1:7" ht="15">
      <c r="A17" s="20" t="s">
        <v>431</v>
      </c>
      <c r="B17" s="110">
        <v>0</v>
      </c>
      <c r="C17" s="110">
        <v>0</v>
      </c>
      <c r="D17" s="110">
        <f t="shared" si="2"/>
        <v>0</v>
      </c>
      <c r="E17" s="110">
        <v>0</v>
      </c>
      <c r="F17" s="110">
        <v>0</v>
      </c>
      <c r="G17" s="110">
        <f>D17-E17</f>
        <v>0</v>
      </c>
    </row>
    <row r="18" spans="1:7" ht="15">
      <c r="A18" s="20" t="s">
        <v>432</v>
      </c>
      <c r="B18" s="110">
        <v>0</v>
      </c>
      <c r="C18" s="110">
        <v>0</v>
      </c>
      <c r="D18" s="110">
        <f t="shared" si="2"/>
        <v>0</v>
      </c>
      <c r="E18" s="110">
        <v>0</v>
      </c>
      <c r="F18" s="110">
        <v>0</v>
      </c>
      <c r="G18" s="110">
        <f>D18-E18</f>
        <v>0</v>
      </c>
    </row>
    <row r="19" spans="1:7" ht="15">
      <c r="A19" s="19" t="s">
        <v>433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f>D19-E19</f>
        <v>0</v>
      </c>
    </row>
    <row r="20" spans="1:7" ht="15">
      <c r="A20" s="33"/>
      <c r="B20" s="111"/>
      <c r="C20" s="111"/>
      <c r="D20" s="111"/>
      <c r="E20" s="111"/>
      <c r="F20" s="111"/>
      <c r="G20" s="111"/>
    </row>
    <row r="21" spans="1:8" ht="15">
      <c r="A21" s="25" t="s">
        <v>434</v>
      </c>
      <c r="B21" s="109">
        <f aca="true" t="shared" si="4" ref="B21:G21">SUM(B22,B23,B24,B27,B28,B31)</f>
        <v>5018053722</v>
      </c>
      <c r="C21" s="109">
        <f t="shared" si="4"/>
        <v>0</v>
      </c>
      <c r="D21" s="109">
        <f t="shared" si="4"/>
        <v>5018053722</v>
      </c>
      <c r="E21" s="109">
        <f t="shared" si="4"/>
        <v>1271887740.63</v>
      </c>
      <c r="F21" s="109">
        <f>SUM(F22,F23,F24,F27,F28,F31)</f>
        <v>1271887740.63</v>
      </c>
      <c r="G21" s="109">
        <f t="shared" si="4"/>
        <v>3746165981.37</v>
      </c>
      <c r="H21" s="9"/>
    </row>
    <row r="22" spans="1:8" ht="15">
      <c r="A22" s="19" t="s">
        <v>424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f>D22-E22</f>
        <v>0</v>
      </c>
      <c r="H22" s="9"/>
    </row>
    <row r="23" spans="1:8" ht="15">
      <c r="A23" s="19" t="s">
        <v>425</v>
      </c>
      <c r="B23" s="110">
        <v>5018053722</v>
      </c>
      <c r="C23" s="110">
        <v>0</v>
      </c>
      <c r="D23" s="110">
        <v>5018053722</v>
      </c>
      <c r="E23" s="131">
        <v>1271887740.63</v>
      </c>
      <c r="F23" s="131">
        <v>1271887740.63</v>
      </c>
      <c r="G23" s="110">
        <f>D23-E23</f>
        <v>3746165981.37</v>
      </c>
      <c r="H23" s="9"/>
    </row>
    <row r="24" spans="1:8" ht="15">
      <c r="A24" s="19" t="s">
        <v>426</v>
      </c>
      <c r="B24" s="110">
        <f aca="true" t="shared" si="5" ref="B24:G24">B25+B26</f>
        <v>0</v>
      </c>
      <c r="C24" s="110">
        <f t="shared" si="5"/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 t="shared" si="5"/>
        <v>0</v>
      </c>
      <c r="H24" s="9"/>
    </row>
    <row r="25" spans="1:8" ht="15">
      <c r="A25" s="20" t="s">
        <v>427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f>D25-E25</f>
        <v>0</v>
      </c>
      <c r="H25" s="9"/>
    </row>
    <row r="26" spans="1:8" ht="15">
      <c r="A26" s="20" t="s">
        <v>428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f>D26-E26</f>
        <v>0</v>
      </c>
      <c r="H26" s="9"/>
    </row>
    <row r="27" spans="1:8" ht="15">
      <c r="A27" s="19" t="s">
        <v>429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f>D27-E27</f>
        <v>0</v>
      </c>
      <c r="H27" s="9"/>
    </row>
    <row r="28" spans="1:8" ht="30">
      <c r="A28" s="32" t="s">
        <v>430</v>
      </c>
      <c r="B28" s="110">
        <f aca="true" t="shared" si="6" ref="B28:G28">B29+B30</f>
        <v>0</v>
      </c>
      <c r="C28" s="110">
        <f t="shared" si="6"/>
        <v>0</v>
      </c>
      <c r="D28" s="110">
        <f t="shared" si="6"/>
        <v>0</v>
      </c>
      <c r="E28" s="110">
        <f t="shared" si="6"/>
        <v>0</v>
      </c>
      <c r="F28" s="110">
        <f t="shared" si="6"/>
        <v>0</v>
      </c>
      <c r="G28" s="110">
        <f t="shared" si="6"/>
        <v>0</v>
      </c>
      <c r="H28" s="9"/>
    </row>
    <row r="29" spans="1:8" ht="15">
      <c r="A29" s="20" t="s">
        <v>431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f>D29-E29</f>
        <v>0</v>
      </c>
      <c r="H29" s="9"/>
    </row>
    <row r="30" spans="1:8" ht="15">
      <c r="A30" s="20" t="s">
        <v>432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f>D30-E30</f>
        <v>0</v>
      </c>
      <c r="H30" s="9"/>
    </row>
    <row r="31" spans="1:8" ht="15">
      <c r="A31" s="19" t="s">
        <v>433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f>D31-E31</f>
        <v>0</v>
      </c>
      <c r="H31" s="9"/>
    </row>
    <row r="32" spans="1:7" ht="15">
      <c r="A32" s="33"/>
      <c r="B32" s="111"/>
      <c r="C32" s="111"/>
      <c r="D32" s="111"/>
      <c r="E32" s="111"/>
      <c r="F32" s="111"/>
      <c r="G32" s="111"/>
    </row>
    <row r="33" spans="1:7" ht="15">
      <c r="A33" s="22" t="s">
        <v>435</v>
      </c>
      <c r="B33" s="109">
        <f aca="true" t="shared" si="7" ref="B33:G33">B21+B9</f>
        <v>7925541310</v>
      </c>
      <c r="C33" s="109">
        <f t="shared" si="7"/>
        <v>7153798.800000002</v>
      </c>
      <c r="D33" s="109">
        <f t="shared" si="7"/>
        <v>7932695108.799999</v>
      </c>
      <c r="E33" s="109">
        <f t="shared" si="7"/>
        <v>1864718534.740001</v>
      </c>
      <c r="F33" s="109">
        <f t="shared" si="7"/>
        <v>1859331187.740001</v>
      </c>
      <c r="G33" s="109">
        <f t="shared" si="7"/>
        <v>6067976574.0599985</v>
      </c>
    </row>
    <row r="34" spans="1:7" ht="15">
      <c r="A34" s="34"/>
      <c r="B34" s="128"/>
      <c r="C34" s="128"/>
      <c r="D34" s="128"/>
      <c r="E34" s="128"/>
      <c r="F34" s="128"/>
      <c r="G34" s="128"/>
    </row>
    <row r="35" spans="2:7" ht="15" hidden="1">
      <c r="B35" s="31"/>
      <c r="C35" s="31"/>
      <c r="D35" s="31"/>
      <c r="E35" s="31"/>
      <c r="F35" s="31"/>
      <c r="G35" s="31"/>
    </row>
    <row r="36" spans="2:7" ht="15" hidden="1">
      <c r="B36" s="31"/>
      <c r="C36" s="31"/>
      <c r="D36" s="31"/>
      <c r="E36" s="31"/>
      <c r="F36" s="31"/>
      <c r="G36" s="31"/>
    </row>
    <row r="37" spans="2:7" ht="15" hidden="1">
      <c r="B37" s="31"/>
      <c r="C37" s="31"/>
      <c r="D37" s="31"/>
      <c r="E37" s="31"/>
      <c r="F37" s="31"/>
      <c r="G37" s="31"/>
    </row>
    <row r="38" spans="2:7" ht="15" hidden="1">
      <c r="B38" s="31"/>
      <c r="C38" s="31"/>
      <c r="D38" s="31"/>
      <c r="E38" s="31"/>
      <c r="F38" s="31"/>
      <c r="G38" s="31"/>
    </row>
    <row r="39" spans="2:7" ht="15" hidden="1">
      <c r="B39" s="31"/>
      <c r="C39" s="31"/>
      <c r="D39" s="31"/>
      <c r="E39" s="31"/>
      <c r="F39" s="31"/>
      <c r="G39" s="31"/>
    </row>
    <row r="40" spans="2:7" ht="15" hidden="1">
      <c r="B40" s="31"/>
      <c r="C40" s="31"/>
      <c r="D40" s="31"/>
      <c r="E40" s="31"/>
      <c r="F40" s="31"/>
      <c r="G40" s="31"/>
    </row>
    <row r="41" spans="2:7" ht="15" hidden="1">
      <c r="B41" s="31"/>
      <c r="C41" s="31"/>
      <c r="D41" s="31"/>
      <c r="E41" s="31"/>
      <c r="F41" s="31"/>
      <c r="G41" s="31"/>
    </row>
    <row r="42" spans="2:7" ht="15" hidden="1">
      <c r="B42" s="31"/>
      <c r="C42" s="31"/>
      <c r="D42" s="31"/>
      <c r="E42" s="31"/>
      <c r="F42" s="31"/>
      <c r="G42" s="31"/>
    </row>
    <row r="43" spans="2:7" ht="15" hidden="1">
      <c r="B43" s="31"/>
      <c r="C43" s="31"/>
      <c r="D43" s="31"/>
      <c r="E43" s="31"/>
      <c r="F43" s="31"/>
      <c r="G43" s="31"/>
    </row>
    <row r="44" spans="2:7" ht="15" hidden="1">
      <c r="B44" s="31"/>
      <c r="C44" s="31"/>
      <c r="D44" s="31"/>
      <c r="E44" s="31"/>
      <c r="F44" s="31"/>
      <c r="G44" s="31"/>
    </row>
    <row r="45" spans="2:7" ht="15" hidden="1">
      <c r="B45" s="31"/>
      <c r="C45" s="31"/>
      <c r="D45" s="31"/>
      <c r="E45" s="31"/>
      <c r="F45" s="31"/>
      <c r="G45" s="31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8" r:id="rId1"/>
  <ignoredErrors>
    <ignoredError sqref="B9:F9 B12:C12 B16:C16 B21:F21 B24:F24 B28:F28 B33:F33 G9:G11 G13:G14 G29:G33 E12:F12 E16:F16 D17:D18 G27 G25 G17:G23 G15 G26" unlockedFormula="1"/>
    <ignoredError sqref="G12 G28 D16 D12 G24 G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Juan acuña</cp:lastModifiedBy>
  <cp:lastPrinted>2023-04-25T20:38:39Z</cp:lastPrinted>
  <dcterms:created xsi:type="dcterms:W3CDTF">2019-07-09T15:27:10Z</dcterms:created>
  <dcterms:modified xsi:type="dcterms:W3CDTF">2023-07-05T19:05:52Z</dcterms:modified>
  <cp:category/>
  <cp:version/>
  <cp:contentType/>
  <cp:contentStatus/>
</cp:coreProperties>
</file>