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155" tabRatio="889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6 a)'!$A$1:$G$159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b)'!$B$37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<sst xmlns="http://schemas.openxmlformats.org/spreadsheetml/2006/main" count="701" uniqueCount="484">
  <si>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</si>
  <si>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</si>
  <si>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</si>
  <si>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</si>
  <si>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</si>
  <si>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</si>
  <si>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</si>
  <si>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</si>
  <si>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</si>
  <si>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</si>
  <si>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</si>
  <si>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</si>
  <si>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</si>
  <si>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</si>
  <si>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</si>
  <si>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</si>
  <si>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</si>
  <si>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</si>
  <si>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</si>
  <si>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</si>
  <si>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</si>
  <si>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</si>
  <si>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</si>
  <si>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</si>
  <si>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</si>
  <si>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</si>
  <si>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</si>
  <si>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</si>
  <si>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</si>
  <si>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</si>
  <si>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</si>
  <si>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</si>
  <si>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</si>
  <si>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</si>
  <si>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</si>
  <si>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</si>
  <si>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</si>
  <si>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</si>
  <si>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</si>
  <si>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</si>
  <si>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</si>
  <si>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</si>
  <si>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</si>
  <si>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</si>
  <si>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</si>
  <si>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</si>
  <si>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</si>
  <si>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</si>
  <si>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</si>
  <si>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</si>
  <si>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</si>
  <si>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</si>
  <si>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</si>
  <si>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</si>
  <si>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</si>
  <si>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</si>
  <si>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</si>
  <si>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</si>
  <si>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</si>
  <si>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</si>
  <si>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</si>
  <si>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</si>
  <si>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</si>
  <si>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</si>
  <si>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</si>
  <si>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</si>
  <si>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</si>
  <si>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</si>
  <si>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</si>
  <si>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</si>
  <si>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</si>
  <si>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</si>
  <si>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</si>
  <si>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</si>
  <si>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</si>
  <si>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</si>
  <si>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</si>
  <si>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</si>
  <si>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</si>
  <si>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</si>
  <si>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</si>
  <si>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</si>
  <si>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</si>
  <si>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</si>
  <si>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</si>
  <si>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</si>
  <si>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</si>
  <si>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</si>
  <si>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</si>
  <si>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</si>
  <si>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</si>
  <si>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</si>
  <si>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</si>
  <si>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</si>
  <si>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</si>
  <si>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</si>
  <si>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</si>
  <si>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</si>
  <si>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</si>
  <si>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</si>
  <si>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</si>
  <si>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</si>
  <si>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</si>
  <si>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</si>
  <si>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</si>
  <si>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</si>
  <si>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</si>
  <si>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</si>
  <si>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</si>
  <si>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</si>
  <si>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</si>
  <si>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</si>
  <si>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</si>
  <si>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</si>
  <si>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</si>
  <si>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</si>
  <si>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</si>
  <si>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</si>
  <si>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</si>
  <si>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</si>
  <si>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</si>
  <si>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</si>
  <si>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</si>
  <si>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</si>
  <si>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</si>
  <si>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</si>
  <si>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</si>
  <si>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</si>
  <si>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</si>
  <si>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</si>
  <si>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</si>
  <si>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</si>
  <si>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</si>
  <si>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</si>
  <si>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</si>
  <si>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</si>
  <si>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</si>
  <si>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</si>
  <si>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</si>
  <si>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</si>
  <si>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</si>
  <si>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</si>
  <si>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</si>
  <si>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</si>
  <si>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</si>
  <si>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</si>
  <si>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</si>
  <si>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</si>
  <si>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</si>
  <si>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</si>
  <si>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</si>
  <si>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</si>
  <si>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</si>
  <si>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</si>
  <si>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</si>
  <si>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</si>
  <si>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</si>
  <si>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</si>
  <si>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</si>
  <si>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</si>
  <si>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</si>
  <si>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</si>
  <si>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</si>
  <si>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</si>
  <si>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</si>
  <si>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</si>
  <si>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</si>
  <si>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</si>
  <si>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</si>
  <si>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</si>
  <si>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</si>
  <si>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</si>
  <si>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</si>
  <si>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</si>
  <si>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</si>
  <si>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</si>
  <si>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</si>
  <si>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</si>
  <si>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</si>
  <si>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</si>
  <si>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</si>
  <si>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</si>
  <si>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</si>
  <si>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</si>
  <si>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</si>
  <si>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</si>
  <si>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</si>
  <si>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</si>
  <si>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</si>
  <si>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</si>
  <si>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</si>
  <si>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</si>
  <si>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</si>
  <si>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</si>
  <si>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</si>
  <si>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</si>
  <si>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</si>
  <si>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</si>
  <si>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</si>
  <si>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</si>
  <si>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</si>
  <si>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</si>
  <si>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</si>
  <si>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</si>
  <si>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</si>
  <si>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</si>
  <si>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</si>
  <si>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</si>
  <si>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</si>
  <si>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</si>
  <si>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</si>
  <si>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</si>
  <si>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</si>
  <si>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</si>
  <si>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</si>
  <si>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</si>
  <si>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</si>
  <si>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</si>
  <si>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</si>
  <si>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</si>
  <si>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</si>
  <si>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</si>
  <si>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</si>
  <si>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</si>
  <si>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</si>
  <si>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</si>
  <si>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</si>
  <si>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</si>
  <si>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</si>
  <si>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</si>
  <si>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</si>
  <si>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</si>
  <si>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</si>
  <si>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</si>
  <si>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</si>
  <si>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</si>
  <si>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</si>
  <si>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</si>
  <si>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</si>
  <si>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</si>
  <si>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</si>
  <si>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</si>
  <si>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</si>
  <si>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</si>
  <si>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</si>
  <si>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</si>
  <si>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</si>
  <si>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</si>
  <si>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</si>
  <si>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</si>
  <si>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</si>
  <si>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</si>
  <si>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</si>
  <si>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</si>
  <si>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</si>
  <si>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</si>
  <si>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</si>
  <si>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</si>
  <si>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</si>
  <si>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</si>
  <si>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</si>
  <si>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</si>
  <si>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</si>
  <si>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</si>
  <si>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</si>
  <si>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</si>
  <si>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</si>
  <si>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</si>
  <si>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</si>
  <si>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</si>
  <si>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</si>
  <si>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</si>
  <si>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</si>
  <si>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</si>
  <si>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</si>
  <si>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</si>
  <si>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</si>
  <si>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</si>
  <si>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</si>
  <si>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</si>
  <si>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</si>
  <si>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</si>
  <si>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</si>
  <si>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</si>
  <si>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</si>
  <si>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</si>
  <si>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</si>
  <si>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</si>
  <si>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</si>
  <si>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</si>
  <si>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</si>
  <si>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</si>
  <si>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</si>
  <si>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</si>
  <si>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</si>
  <si>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</si>
  <si>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</si>
  <si>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</si>
  <si>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</si>
  <si>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</si>
  <si>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</si>
  <si>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</si>
  <si>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</si>
  <si>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</si>
  <si>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</si>
  <si>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</si>
  <si>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</si>
  <si>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</si>
  <si>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</si>
  <si>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</si>
  <si>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</si>
  <si>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</si>
  <si>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</si>
  <si>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</si>
  <si>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</si>
  <si>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</si>
  <si>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</si>
  <si>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</si>
  <si>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</si>
  <si>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</si>
  <si>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</si>
  <si>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</si>
  <si>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</si>
  <si>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</si>
  <si>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</si>
  <si>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</si>
  <si>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</si>
  <si>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</si>
  <si>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</si>
  <si>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</si>
  <si>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</si>
  <si>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</si>
  <si>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</si>
  <si>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</si>
  <si>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</si>
  <si>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</si>
  <si>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</si>
  <si>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</si>
  <si>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</si>
  <si>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</si>
  <si>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</si>
  <si>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</si>
  <si>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</si>
  <si>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</si>
  <si>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</si>
  <si>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</si>
  <si>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</si>
  <si>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</si>
  <si>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</si>
  <si>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</si>
  <si>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</si>
  <si>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</si>
  <si>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</si>
  <si>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</si>
  <si>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</si>
  <si>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</si>
  <si>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</si>
  <si>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</si>
  <si>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</si>
  <si>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</si>
  <si>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</si>
  <si>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</si>
  <si>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</si>
  <si>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</si>
  <si>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</si>
  <si>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</si>
  <si>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</si>
  <si>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</si>
  <si>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</si>
  <si>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</si>
  <si>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</si>
  <si>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</si>
  <si>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</si>
  <si>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</si>
  <si>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</si>
  <si>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</si>
  <si>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</si>
  <si>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</si>
  <si>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</si>
  <si>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</si>
  <si>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</si>
  <si>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</si>
  <si>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</si>
  <si>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</si>
  <si>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</si>
  <si>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</si>
  <si>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</si>
  <si>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</si>
  <si>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</si>
  <si>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</si>
  <si>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</si>
  <si>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</si>
  <si>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</si>
  <si>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</si>
  <si>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</si>
  <si>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</si>
  <si>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</si>
  <si>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</si>
  <si>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</si>
  <si>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</si>
  <si>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</si>
  <si>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</si>
  <si>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</si>
  <si>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</si>
  <si>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</si>
  <si>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</si>
  <si>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</si>
  <si>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</si>
  <si>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</si>
  <si>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</si>
  <si>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</si>
  <si>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</si>
  <si>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</si>
  <si>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</si>
  <si>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</si>
  <si>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</si>
  <si>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</si>
  <si>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</si>
  <si>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</si>
  <si>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</si>
  <si>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</si>
  <si>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</si>
  <si>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</si>
  <si>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</si>
  <si>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</si>
  <si>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</si>
  <si>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</si>
  <si>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</si>
  <si>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</si>
  <si>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</si>
  <si>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</si>
  <si>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</si>
  <si>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</si>
  <si>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Secretaría de Educación</t>
  </si>
  <si>
    <t>Secretaría de Salud</t>
  </si>
  <si>
    <t>Secretaría de Desarrollo Económico</t>
  </si>
  <si>
    <t>Secretaría de Turismo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</si>
  <si>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</si>
  <si>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</si>
  <si>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</si>
  <si>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</si>
  <si>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</si>
  <si>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</si>
  <si>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</si>
  <si>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</si>
  <si>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</si>
  <si>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</si>
  <si>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</si>
  <si>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</si>
  <si>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</si>
  <si>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</si>
  <si>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</si>
  <si>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</si>
  <si>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Provisiones del Estado</t>
  </si>
  <si>
    <t>g5) Inversiones en Fideicomisos, Mandatos y Otros Análogos
        Fideicomiso de Desastres Naturales (Informativo)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</si>
  <si>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</si>
  <si>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</si>
  <si>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</si>
  <si>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</si>
  <si>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Desarrollo Territorial, Urbano y Obras Públicas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</si>
  <si>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</si>
  <si>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</si>
  <si>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</si>
  <si>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</si>
  <si>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Protección y Seguridad Ciudadana</t>
  </si>
  <si>
    <t>Secretaría de la Contraloría</t>
  </si>
  <si>
    <t>J. Transferencias y Asignaciones</t>
  </si>
  <si>
    <t>D. Transferencias, Asignaciones, Subsidios y Subvenciones, y Pensiones y Jubilaciones</t>
  </si>
  <si>
    <t>BANAMEX, S. A.</t>
  </si>
  <si>
    <t>SANTANDER, S. A.</t>
  </si>
  <si>
    <t>BBVA BANCOMER, S. A.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</si>
  <si>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</si>
  <si>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</si>
  <si>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</si>
  <si>
    <t>V. Balance Presupuestario de Recursos Disponibles (V = A1 + A3.1 – B 1 + C1)</t>
  </si>
  <si>
    <t>VII. Balance Presupuestario de Recursos Etiquetados (VII = A2 + A3.2 – B2 + C2)</t>
  </si>
  <si>
    <t>Aprobado</t>
  </si>
  <si>
    <t>31 de diciembre de 2023 (e)</t>
  </si>
  <si>
    <t>Al 31 de diciembre de 2023 y al 31 de marzo de 2024  (b)</t>
  </si>
  <si>
    <t>Del 1 de enero al 31 de marzo de 2024(b)</t>
  </si>
  <si>
    <t>Saldo al 31 de diciembre de 2023 (d)</t>
  </si>
  <si>
    <t>Del 1 enero al 31 de marzo de 2024 (b)</t>
  </si>
  <si>
    <t>Del 1 de enero al 31 de marzo de 2024 (b)</t>
  </si>
  <si>
    <t>2024 (d)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</si>
</sst>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1080A]&quot;$&quot;#,##0.00"/>
    <numFmt numFmtId="180" formatCode="&quot;$&quot;#,##0.00"/>
    <numFmt numFmtId="181" formatCode="_-* #,##0.00\ _€_-;\-* #,##0.00\ _€_-;_-* &quot;-&quot;??\ _€_-;_-@_-"/>
    <numFmt numFmtId="182" formatCode="\$#,##0.00;\-\$#,##0.00;\$#,##0.00"/>
    <numFmt numFmtId="183" formatCode="d/mm/yy;@"/>
    <numFmt numFmtId="184" formatCode="#,##0.00_ ;\-#,##0.00\ "/>
    <numFmt numFmtId="185" formatCode="#,##0.000000_ ;\-#,##0.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sz val="10"/>
      <color indexed="8"/>
      <name val="Averta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sz val="10"/>
      <color theme="1"/>
      <name val="Averta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 diagonalUp="1">
      <left style="thin"/>
      <right>
        <color indexed="63"/>
      </right>
      <top/>
      <bottom/>
      <diagonal style="thin">
        <color theme="1" tint="0.49998000264167786"/>
      </diagonal>
    </border>
    <border diagonalUp="1">
      <left>
        <color indexed="63"/>
      </left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0" fillId="33" borderId="15" xfId="0" applyFill="1" applyBorder="1" applyAlignment="1">
      <alignment vertical="center"/>
    </xf>
    <xf numFmtId="0" fontId="45" fillId="33" borderId="11" xfId="0" applyFont="1" applyFill="1" applyBorder="1" applyAlignment="1">
      <alignment horizontal="left" vertical="center" wrapText="1" indent="3"/>
    </xf>
    <xf numFmtId="171" fontId="45" fillId="0" borderId="14" xfId="47" applyFont="1" applyFill="1" applyBorder="1" applyAlignment="1" applyProtection="1">
      <alignment/>
      <protection locked="0"/>
    </xf>
    <xf numFmtId="171" fontId="48" fillId="33" borderId="15" xfId="47" applyFont="1" applyFill="1" applyBorder="1" applyAlignment="1">
      <alignment/>
    </xf>
    <xf numFmtId="171" fontId="49" fillId="33" borderId="15" xfId="47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 indent="6"/>
    </xf>
    <xf numFmtId="0" fontId="0" fillId="34" borderId="14" xfId="0" applyFill="1" applyBorder="1" applyAlignment="1">
      <alignment horizontal="left" vertical="center" indent="3"/>
    </xf>
    <xf numFmtId="0" fontId="45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indent="3"/>
    </xf>
    <xf numFmtId="0" fontId="45" fillId="34" borderId="14" xfId="0" applyFont="1" applyFill="1" applyBorder="1" applyAlignment="1">
      <alignment horizontal="left" indent="3"/>
    </xf>
    <xf numFmtId="171" fontId="45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 indent="9"/>
    </xf>
    <xf numFmtId="0" fontId="0" fillId="34" borderId="0" xfId="0" applyFill="1" applyAlignment="1">
      <alignment/>
    </xf>
    <xf numFmtId="0" fontId="30" fillId="34" borderId="14" xfId="0" applyFont="1" applyFill="1" applyBorder="1" applyAlignment="1">
      <alignment vertical="center"/>
    </xf>
    <xf numFmtId="171" fontId="0" fillId="34" borderId="14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left" vertical="center" wrapText="1" indent="3"/>
    </xf>
    <xf numFmtId="0" fontId="45" fillId="34" borderId="14" xfId="0" applyFont="1" applyFill="1" applyBorder="1" applyAlignment="1">
      <alignment horizontal="left" vertical="center" wrapText="1" indent="3"/>
    </xf>
    <xf numFmtId="0" fontId="0" fillId="34" borderId="16" xfId="0" applyFill="1" applyBorder="1" applyAlignment="1">
      <alignment horizontal="left" vertical="center" indent="6"/>
    </xf>
    <xf numFmtId="171" fontId="0" fillId="34" borderId="16" xfId="47" applyFont="1" applyFill="1" applyBorder="1" applyAlignment="1" applyProtection="1">
      <alignment/>
      <protection locked="0"/>
    </xf>
    <xf numFmtId="171" fontId="45" fillId="34" borderId="14" xfId="47" applyFont="1" applyFill="1" applyBorder="1" applyAlignment="1" applyProtection="1">
      <alignment/>
      <protection locked="0"/>
    </xf>
    <xf numFmtId="171" fontId="0" fillId="34" borderId="14" xfId="47" applyFont="1" applyFill="1" applyBorder="1" applyAlignment="1" applyProtection="1">
      <alignment/>
      <protection locked="0"/>
    </xf>
    <xf numFmtId="171" fontId="0" fillId="34" borderId="16" xfId="47" applyFont="1" applyFill="1" applyBorder="1" applyAlignment="1" applyProtection="1">
      <alignment vertical="center"/>
      <protection locked="0"/>
    </xf>
    <xf numFmtId="0" fontId="45" fillId="34" borderId="14" xfId="0" applyFont="1" applyFill="1" applyBorder="1" applyAlignment="1">
      <alignment vertical="center"/>
    </xf>
    <xf numFmtId="171" fontId="45" fillId="34" borderId="14" xfId="47" applyFont="1" applyFill="1" applyBorder="1" applyAlignment="1">
      <alignment vertical="center"/>
    </xf>
    <xf numFmtId="0" fontId="45" fillId="34" borderId="13" xfId="0" applyFont="1" applyFill="1" applyBorder="1" applyAlignment="1">
      <alignment horizontal="left" vertical="center" indent="3"/>
    </xf>
    <xf numFmtId="0" fontId="45" fillId="34" borderId="13" xfId="0" applyFont="1" applyFill="1" applyBorder="1" applyAlignment="1">
      <alignment horizontal="left" vertical="center" wrapText="1" indent="3"/>
    </xf>
    <xf numFmtId="171" fontId="45" fillId="34" borderId="14" xfId="47" applyFont="1" applyFill="1" applyBorder="1" applyAlignment="1">
      <alignment/>
    </xf>
    <xf numFmtId="171" fontId="0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172" fontId="0" fillId="34" borderId="14" xfId="0" applyNumberFormat="1" applyFill="1" applyBorder="1" applyAlignment="1" applyProtection="1">
      <alignment vertical="center"/>
      <protection locked="0"/>
    </xf>
    <xf numFmtId="16" fontId="0" fillId="34" borderId="14" xfId="0" applyNumberFormat="1" applyFill="1" applyBorder="1" applyAlignment="1">
      <alignment vertical="center"/>
    </xf>
    <xf numFmtId="0" fontId="45" fillId="34" borderId="14" xfId="0" applyFont="1" applyFill="1" applyBorder="1" applyAlignment="1">
      <alignment horizontal="left" vertical="center" indent="2"/>
    </xf>
    <xf numFmtId="0" fontId="30" fillId="34" borderId="14" xfId="0" applyFont="1" applyFill="1" applyBorder="1" applyAlignment="1">
      <alignment horizontal="left" vertical="center"/>
    </xf>
    <xf numFmtId="0" fontId="45" fillId="34" borderId="17" xfId="0" applyFont="1" applyFill="1" applyBorder="1" applyAlignment="1">
      <alignment horizontal="left" vertical="center" indent="3"/>
    </xf>
    <xf numFmtId="0" fontId="0" fillId="34" borderId="17" xfId="0" applyFill="1" applyBorder="1" applyAlignment="1">
      <alignment horizontal="left" vertical="center" indent="5"/>
    </xf>
    <xf numFmtId="0" fontId="0" fillId="34" borderId="17" xfId="0" applyFill="1" applyBorder="1" applyAlignment="1">
      <alignment horizontal="left" vertical="center" indent="7"/>
    </xf>
    <xf numFmtId="0" fontId="0" fillId="34" borderId="17" xfId="0" applyFill="1" applyBorder="1" applyAlignment="1" applyProtection="1">
      <alignment horizontal="left" vertical="center" indent="5"/>
      <protection locked="0"/>
    </xf>
    <xf numFmtId="0" fontId="30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30" fillId="34" borderId="13" xfId="0" applyFont="1" applyFill="1" applyBorder="1" applyAlignment="1">
      <alignment/>
    </xf>
    <xf numFmtId="0" fontId="45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4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5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4" fontId="45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>
      <alignment vertical="center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>
      <alignment vertical="center"/>
    </xf>
    <xf numFmtId="4" fontId="45" fillId="34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4" xfId="0" applyNumberFormat="1" applyFill="1" applyBorder="1" applyAlignment="1">
      <alignment/>
    </xf>
    <xf numFmtId="4" fontId="0" fillId="34" borderId="14" xfId="47" applyNumberFormat="1" applyFont="1" applyFill="1" applyBorder="1" applyAlignment="1">
      <alignment/>
    </xf>
    <xf numFmtId="4" fontId="45" fillId="0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4" fontId="0" fillId="33" borderId="15" xfId="47" applyNumberFormat="1" applyFont="1" applyFill="1" applyBorder="1" applyAlignment="1">
      <alignment vertical="center"/>
    </xf>
    <xf numFmtId="4" fontId="45" fillId="34" borderId="14" xfId="47" applyNumberFormat="1" applyFont="1" applyFill="1" applyBorder="1" applyAlignment="1" applyProtection="1">
      <alignment/>
      <protection locked="0"/>
    </xf>
    <xf numFmtId="4" fontId="49" fillId="33" borderId="15" xfId="47" applyNumberFormat="1" applyFont="1" applyFill="1" applyBorder="1" applyAlignment="1">
      <alignment vertical="center"/>
    </xf>
    <xf numFmtId="4" fontId="0" fillId="0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/>
      <protection locked="0"/>
    </xf>
    <xf numFmtId="4" fontId="49" fillId="33" borderId="15" xfId="47" applyNumberFormat="1" applyFont="1" applyFill="1" applyBorder="1" applyAlignment="1">
      <alignment/>
    </xf>
    <xf numFmtId="4" fontId="0" fillId="0" borderId="14" xfId="47" applyNumberFormat="1" applyFont="1" applyFill="1" applyBorder="1" applyAlignment="1" applyProtection="1">
      <alignment/>
      <protection locked="0"/>
    </xf>
    <xf numFmtId="4" fontId="45" fillId="34" borderId="16" xfId="47" applyNumberFormat="1" applyFont="1" applyFill="1" applyBorder="1" applyAlignment="1" applyProtection="1">
      <alignment vertical="center"/>
      <protection locked="0"/>
    </xf>
    <xf numFmtId="4" fontId="45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5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5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5" fillId="34" borderId="18" xfId="0" applyFont="1" applyFill="1" applyBorder="1" applyAlignment="1">
      <alignment horizontal="left" vertical="center" indent="3"/>
    </xf>
    <xf numFmtId="173" fontId="50" fillId="0" borderId="20" xfId="0" applyNumberFormat="1" applyFont="1" applyFill="1" applyBorder="1" applyAlignment="1">
      <alignment horizontal="right" vertical="center" wrapText="1" readingOrder="1"/>
    </xf>
    <xf numFmtId="173" fontId="50" fillId="0" borderId="13" xfId="0" applyNumberFormat="1" applyFont="1" applyFill="1" applyBorder="1" applyAlignment="1">
      <alignment horizontal="right" vertical="center" wrapText="1" readingOrder="1"/>
    </xf>
    <xf numFmtId="173" fontId="50" fillId="0" borderId="21" xfId="0" applyNumberFormat="1" applyFont="1" applyFill="1" applyBorder="1" applyAlignment="1">
      <alignment horizontal="right" vertical="center" wrapText="1" readingOrder="1"/>
    </xf>
    <xf numFmtId="173" fontId="50" fillId="0" borderId="22" xfId="0" applyNumberFormat="1" applyFont="1" applyFill="1" applyBorder="1" applyAlignment="1">
      <alignment horizontal="right" vertical="center" wrapText="1" readingOrder="1"/>
    </xf>
    <xf numFmtId="4" fontId="0" fillId="34" borderId="17" xfId="47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4" fontId="0" fillId="34" borderId="13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171" fontId="0" fillId="0" borderId="0" xfId="47" applyFont="1" applyAlignment="1">
      <alignment/>
    </xf>
    <xf numFmtId="171" fontId="0" fillId="34" borderId="23" xfId="47" applyFont="1" applyFill="1" applyBorder="1" applyAlignment="1">
      <alignment horizontal="center"/>
    </xf>
    <xf numFmtId="4" fontId="45" fillId="34" borderId="14" xfId="47" applyNumberFormat="1" applyFont="1" applyFill="1" applyBorder="1" applyAlignment="1" applyProtection="1">
      <alignment vertical="center"/>
      <protection/>
    </xf>
    <xf numFmtId="4" fontId="0" fillId="34" borderId="14" xfId="47" applyNumberFormat="1" applyFont="1" applyFill="1" applyBorder="1" applyAlignment="1" applyProtection="1">
      <alignment vertical="center"/>
      <protection/>
    </xf>
    <xf numFmtId="173" fontId="51" fillId="0" borderId="14" xfId="47" applyNumberFormat="1" applyFont="1" applyBorder="1" applyAlignment="1">
      <alignment/>
    </xf>
    <xf numFmtId="171" fontId="45" fillId="34" borderId="14" xfId="47" applyFont="1" applyFill="1" applyBorder="1" applyAlignment="1" applyProtection="1">
      <alignment/>
      <protection/>
    </xf>
    <xf numFmtId="0" fontId="45" fillId="0" borderId="17" xfId="0" applyFont="1" applyFill="1" applyBorder="1" applyAlignment="1">
      <alignment horizontal="left" vertical="center" indent="3"/>
    </xf>
    <xf numFmtId="4" fontId="0" fillId="0" borderId="15" xfId="47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24" xfId="47" applyNumberFormat="1" applyFont="1" applyFill="1" applyBorder="1" applyAlignment="1">
      <alignment/>
    </xf>
    <xf numFmtId="4" fontId="0" fillId="0" borderId="25" xfId="47" applyNumberFormat="1" applyFont="1" applyFill="1" applyBorder="1" applyAlignment="1">
      <alignment/>
    </xf>
    <xf numFmtId="4" fontId="45" fillId="0" borderId="14" xfId="47" applyNumberFormat="1" applyFont="1" applyFill="1" applyBorder="1" applyAlignment="1">
      <alignment/>
    </xf>
    <xf numFmtId="4" fontId="45" fillId="34" borderId="13" xfId="47" applyNumberFormat="1" applyFont="1" applyFill="1" applyBorder="1" applyAlignment="1" applyProtection="1">
      <alignment vertical="center"/>
      <protection locked="0"/>
    </xf>
    <xf numFmtId="4" fontId="0" fillId="34" borderId="0" xfId="47" applyNumberFormat="1" applyFont="1" applyFill="1" applyBorder="1" applyAlignment="1" applyProtection="1">
      <alignment vertical="center"/>
      <protection locked="0"/>
    </xf>
    <xf numFmtId="0" fontId="45" fillId="34" borderId="14" xfId="0" applyFont="1" applyFill="1" applyBorder="1" applyAlignment="1">
      <alignment horizontal="left" vertical="center"/>
    </xf>
    <xf numFmtId="0" fontId="0" fillId="34" borderId="14" xfId="0" applyFill="1" applyBorder="1" applyAlignment="1" applyProtection="1">
      <alignment horizontal="left" vertical="center" indent="2"/>
      <protection locked="0"/>
    </xf>
    <xf numFmtId="0" fontId="45" fillId="34" borderId="16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 indent="2"/>
    </xf>
    <xf numFmtId="0" fontId="0" fillId="34" borderId="14" xfId="0" applyFill="1" applyBorder="1" applyAlignment="1">
      <alignment horizontal="left" vertical="center" wrapText="1" indent="4"/>
    </xf>
    <xf numFmtId="0" fontId="0" fillId="34" borderId="14" xfId="0" applyFill="1" applyBorder="1" applyAlignment="1">
      <alignment horizontal="left" wrapText="1" indent="4"/>
    </xf>
    <xf numFmtId="0" fontId="0" fillId="34" borderId="14" xfId="0" applyFill="1" applyBorder="1" applyAlignment="1">
      <alignment horizontal="left" vertical="center" wrapText="1" indent="2"/>
    </xf>
    <xf numFmtId="0" fontId="45" fillId="34" borderId="14" xfId="0" applyFont="1" applyFill="1" applyBorder="1" applyAlignment="1">
      <alignment horizontal="left" vertical="center" wrapText="1" indent="2"/>
    </xf>
    <xf numFmtId="0" fontId="0" fillId="34" borderId="14" xfId="0" applyFill="1" applyBorder="1" applyAlignment="1">
      <alignment horizontal="left" vertical="center"/>
    </xf>
    <xf numFmtId="0" fontId="0" fillId="34" borderId="14" xfId="0" applyFill="1" applyBorder="1" applyAlignment="1">
      <alignment horizontal="left" indent="2"/>
    </xf>
    <xf numFmtId="0" fontId="0" fillId="34" borderId="13" xfId="0" applyFill="1" applyBorder="1" applyAlignment="1">
      <alignment horizontal="left" vertical="center" indent="2"/>
    </xf>
    <xf numFmtId="0" fontId="45" fillId="34" borderId="14" xfId="0" applyFont="1" applyFill="1" applyBorder="1" applyAlignment="1">
      <alignment horizontal="left"/>
    </xf>
    <xf numFmtId="0" fontId="0" fillId="34" borderId="14" xfId="0" applyFill="1" applyBorder="1" applyAlignment="1" applyProtection="1">
      <alignment horizontal="left" vertical="center" wrapText="1" indent="2"/>
      <protection locked="0"/>
    </xf>
    <xf numFmtId="0" fontId="0" fillId="34" borderId="14" xfId="0" applyFill="1" applyBorder="1" applyAlignment="1">
      <alignment horizontal="left" wrapText="1" indent="3"/>
    </xf>
    <xf numFmtId="0" fontId="0" fillId="34" borderId="14" xfId="0" applyFill="1" applyBorder="1" applyAlignment="1">
      <alignment horizontal="left" vertical="center" wrapText="1"/>
    </xf>
    <xf numFmtId="171" fontId="45" fillId="34" borderId="14" xfId="47" applyNumberFormat="1" applyFont="1" applyFill="1" applyBorder="1" applyAlignment="1" applyProtection="1">
      <alignment vertical="center"/>
      <protection locked="0"/>
    </xf>
    <xf numFmtId="0" fontId="45" fillId="33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indent="10"/>
    </xf>
    <xf numFmtId="0" fontId="0" fillId="34" borderId="14" xfId="0" applyFont="1" applyFill="1" applyBorder="1" applyAlignment="1">
      <alignment horizontal="left" vertical="center" indent="6"/>
    </xf>
    <xf numFmtId="0" fontId="46" fillId="34" borderId="26" xfId="0" applyFont="1" applyFill="1" applyBorder="1" applyAlignment="1">
      <alignment horizontal="left" vertical="center"/>
    </xf>
    <xf numFmtId="0" fontId="45" fillId="33" borderId="27" xfId="0" applyFont="1" applyFill="1" applyBorder="1" applyAlignment="1" applyProtection="1">
      <alignment horizontal="center" vertical="center"/>
      <protection/>
    </xf>
    <xf numFmtId="0" fontId="45" fillId="33" borderId="28" xfId="0" applyFont="1" applyFill="1" applyBorder="1" applyAlignment="1" applyProtection="1">
      <alignment horizontal="center" vertic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1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7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29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52" fillId="34" borderId="26" xfId="0" applyFont="1" applyFill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="85" zoomScaleNormal="85" zoomScalePageLayoutView="0" workbookViewId="0" topLeftCell="A1">
      <selection activeCell="E7" sqref="E7"/>
    </sheetView>
  </sheetViews>
  <sheetFormatPr defaultColWidth="1.8515625" defaultRowHeight="15" zeroHeight="1"/>
  <cols>
    <col min="1" max="1" width="90.8515625" style="0" customWidth="1"/>
    <col min="2" max="3" width="20.00390625" style="77" customWidth="1"/>
    <col min="4" max="4" width="94.421875" style="0" customWidth="1"/>
    <col min="5" max="6" width="20.00390625" style="77" customWidth="1"/>
    <col min="7" max="255" width="11.421875" style="0" hidden="1" customWidth="1"/>
  </cols>
  <sheetData>
    <row r="1" spans="1:6" ht="21">
      <c r="A1" s="147" t="s">
        <v>0</v>
      </c>
      <c r="B1" s="147"/>
      <c r="C1" s="147"/>
      <c r="D1" s="147"/>
      <c r="E1" s="147"/>
      <c r="F1" s="147"/>
    </row>
    <row r="2" spans="1:6" ht="15">
      <c r="A2" s="148" t="s">
        <v>286</v>
      </c>
      <c r="B2" s="149"/>
      <c r="C2" s="149"/>
      <c r="D2" s="149"/>
      <c r="E2" s="149"/>
      <c r="F2" s="150"/>
    </row>
    <row r="3" spans="1:6" ht="15">
      <c r="A3" s="151" t="s">
        <v>1</v>
      </c>
      <c r="B3" s="152"/>
      <c r="C3" s="152"/>
      <c r="D3" s="152"/>
      <c r="E3" s="152"/>
      <c r="F3" s="153"/>
    </row>
    <row r="4" spans="1:6" ht="15">
      <c r="A4" s="154" t="s">
        <v>478</v>
      </c>
      <c r="B4" s="155"/>
      <c r="C4" s="155"/>
      <c r="D4" s="155"/>
      <c r="E4" s="155"/>
      <c r="F4" s="156"/>
    </row>
    <row r="5" spans="1:6" ht="15">
      <c r="A5" s="157" t="s">
        <v>2</v>
      </c>
      <c r="B5" s="158"/>
      <c r="C5" s="158"/>
      <c r="D5" s="158"/>
      <c r="E5" s="158"/>
      <c r="F5" s="159"/>
    </row>
    <row r="6" spans="1:6" ht="30">
      <c r="A6" s="1" t="s">
        <v>3</v>
      </c>
      <c r="B6" s="71" t="s">
        <v>483</v>
      </c>
      <c r="C6" s="78" t="s">
        <v>477</v>
      </c>
      <c r="D6" s="3" t="s">
        <v>4</v>
      </c>
      <c r="E6" s="71" t="s">
        <v>483</v>
      </c>
      <c r="F6" s="78" t="s">
        <v>477</v>
      </c>
    </row>
    <row r="7" spans="1:6" ht="15">
      <c r="A7" s="52" t="s">
        <v>5</v>
      </c>
      <c r="B7" s="72"/>
      <c r="C7" s="72"/>
      <c r="D7" s="62" t="s">
        <v>6</v>
      </c>
      <c r="E7" s="72"/>
      <c r="F7" s="72"/>
    </row>
    <row r="8" spans="1:6" ht="15">
      <c r="A8" s="52" t="s">
        <v>7</v>
      </c>
      <c r="B8" s="72"/>
      <c r="C8" s="72"/>
      <c r="D8" s="62" t="s">
        <v>8</v>
      </c>
      <c r="E8" s="72"/>
      <c r="F8" s="72"/>
    </row>
    <row r="9" spans="1:6" ht="15">
      <c r="A9" s="20" t="s">
        <v>9</v>
      </c>
      <c r="B9" s="75">
        <f>SUM(B10:B16)</f>
        <v>5889256859.54</v>
      </c>
      <c r="C9" s="75">
        <f>SUM(C10:C16)</f>
        <v>4970458176.09</v>
      </c>
      <c r="D9" s="102" t="s">
        <v>10</v>
      </c>
      <c r="E9" s="75">
        <f>SUM(E10:E18)</f>
        <v>127782816.27000001</v>
      </c>
      <c r="F9" s="75">
        <f>SUM(F10:F18)</f>
        <v>187888461.49</v>
      </c>
    </row>
    <row r="10" spans="1:6" ht="15">
      <c r="A10" s="64" t="s">
        <v>11</v>
      </c>
      <c r="B10" s="113">
        <v>265200</v>
      </c>
      <c r="C10" s="113">
        <v>265200</v>
      </c>
      <c r="D10" s="65" t="s">
        <v>12</v>
      </c>
      <c r="E10" s="73">
        <v>0</v>
      </c>
      <c r="F10" s="113">
        <v>0</v>
      </c>
    </row>
    <row r="11" spans="1:6" ht="15">
      <c r="A11" s="64" t="s">
        <v>13</v>
      </c>
      <c r="B11" s="113">
        <v>759104299.61</v>
      </c>
      <c r="C11" s="113">
        <v>967935248.7</v>
      </c>
      <c r="D11" s="65" t="s">
        <v>14</v>
      </c>
      <c r="E11" s="113">
        <v>4856948.56</v>
      </c>
      <c r="F11" s="113">
        <v>2711185.09</v>
      </c>
    </row>
    <row r="12" spans="1:6" ht="15">
      <c r="A12" s="64" t="s">
        <v>15</v>
      </c>
      <c r="B12" s="73">
        <v>0</v>
      </c>
      <c r="C12" s="113">
        <v>0</v>
      </c>
      <c r="D12" s="65" t="s">
        <v>16</v>
      </c>
      <c r="E12" s="113">
        <v>9665214.05</v>
      </c>
      <c r="F12" s="113">
        <v>17817832</v>
      </c>
    </row>
    <row r="13" spans="1:6" ht="15">
      <c r="A13" s="64" t="s">
        <v>17</v>
      </c>
      <c r="B13" s="113">
        <v>4989896131.09</v>
      </c>
      <c r="C13" s="113">
        <v>3871815147.54</v>
      </c>
      <c r="D13" s="65" t="s">
        <v>18</v>
      </c>
      <c r="E13" s="113">
        <v>0</v>
      </c>
      <c r="F13" s="113">
        <v>29466814.88</v>
      </c>
    </row>
    <row r="14" spans="1:6" ht="15">
      <c r="A14" s="64" t="s">
        <v>19</v>
      </c>
      <c r="B14" s="73">
        <v>0</v>
      </c>
      <c r="C14" s="113">
        <v>0</v>
      </c>
      <c r="D14" s="65" t="s">
        <v>20</v>
      </c>
      <c r="E14" s="113">
        <v>896319.62</v>
      </c>
      <c r="F14" s="113">
        <v>2728034.53</v>
      </c>
    </row>
    <row r="15" spans="1:6" ht="15">
      <c r="A15" s="64" t="s">
        <v>21</v>
      </c>
      <c r="B15" s="113">
        <v>139991228.84</v>
      </c>
      <c r="C15" s="113">
        <v>130442579.85</v>
      </c>
      <c r="D15" s="65" t="s">
        <v>22</v>
      </c>
      <c r="E15" s="73">
        <v>0</v>
      </c>
      <c r="F15" s="113">
        <v>0</v>
      </c>
    </row>
    <row r="16" spans="1:6" ht="15">
      <c r="A16" s="64" t="s">
        <v>23</v>
      </c>
      <c r="B16" s="73">
        <v>0</v>
      </c>
      <c r="C16" s="113">
        <v>0</v>
      </c>
      <c r="D16" s="65" t="s">
        <v>24</v>
      </c>
      <c r="E16" s="113">
        <v>68067203.23</v>
      </c>
      <c r="F16" s="113">
        <v>93460287.67</v>
      </c>
    </row>
    <row r="17" spans="1:6" ht="15">
      <c r="A17" s="20" t="s">
        <v>25</v>
      </c>
      <c r="B17" s="75">
        <f>SUM(B18:B24)</f>
        <v>65759018.97</v>
      </c>
      <c r="C17" s="75">
        <f>SUM(C18:C24)</f>
        <v>37082331.230000004</v>
      </c>
      <c r="D17" s="65" t="s">
        <v>26</v>
      </c>
      <c r="E17" s="73">
        <v>0</v>
      </c>
      <c r="F17" s="113">
        <v>0</v>
      </c>
    </row>
    <row r="18" spans="1:6" ht="15">
      <c r="A18" s="66" t="s">
        <v>27</v>
      </c>
      <c r="B18" s="73">
        <v>0</v>
      </c>
      <c r="C18" s="113">
        <v>0</v>
      </c>
      <c r="D18" s="65" t="s">
        <v>28</v>
      </c>
      <c r="E18" s="113">
        <v>44297130.81</v>
      </c>
      <c r="F18" s="113">
        <v>41704307.32</v>
      </c>
    </row>
    <row r="19" spans="1:6" ht="15">
      <c r="A19" s="66" t="s">
        <v>29</v>
      </c>
      <c r="B19" s="73">
        <v>0</v>
      </c>
      <c r="C19" s="113">
        <v>0</v>
      </c>
      <c r="D19" s="102" t="s">
        <v>30</v>
      </c>
      <c r="E19" s="75">
        <f>SUM(E20:E22)</f>
        <v>0</v>
      </c>
      <c r="F19" s="75">
        <f>SUM(F20:F22)</f>
        <v>0</v>
      </c>
    </row>
    <row r="20" spans="1:6" ht="15">
      <c r="A20" s="66" t="s">
        <v>31</v>
      </c>
      <c r="B20" s="113">
        <v>38144123.97</v>
      </c>
      <c r="C20" s="113">
        <v>22628417.23</v>
      </c>
      <c r="D20" s="65" t="s">
        <v>32</v>
      </c>
      <c r="E20" s="73">
        <v>0</v>
      </c>
      <c r="F20" s="113">
        <v>0</v>
      </c>
    </row>
    <row r="21" spans="1:6" ht="15">
      <c r="A21" s="66" t="s">
        <v>33</v>
      </c>
      <c r="B21" s="113">
        <v>1376398</v>
      </c>
      <c r="C21" s="113">
        <v>1509580</v>
      </c>
      <c r="D21" s="65" t="s">
        <v>34</v>
      </c>
      <c r="E21" s="73">
        <v>0</v>
      </c>
      <c r="F21" s="113">
        <v>0</v>
      </c>
    </row>
    <row r="22" spans="1:6" ht="15">
      <c r="A22" s="66" t="s">
        <v>35</v>
      </c>
      <c r="B22" s="113">
        <v>26238497</v>
      </c>
      <c r="C22" s="113">
        <v>12944334</v>
      </c>
      <c r="D22" s="65" t="s">
        <v>36</v>
      </c>
      <c r="E22" s="73">
        <v>0</v>
      </c>
      <c r="F22" s="113">
        <v>0</v>
      </c>
    </row>
    <row r="23" spans="1:6" ht="15">
      <c r="A23" s="66" t="s">
        <v>37</v>
      </c>
      <c r="B23" s="113">
        <v>0</v>
      </c>
      <c r="C23" s="113">
        <v>0</v>
      </c>
      <c r="D23" s="102" t="s">
        <v>38</v>
      </c>
      <c r="E23" s="75">
        <f>E24+E25</f>
        <v>68490202.81</v>
      </c>
      <c r="F23" s="75">
        <f>F24+F25</f>
        <v>66073294.52</v>
      </c>
    </row>
    <row r="24" spans="1:6" ht="15">
      <c r="A24" s="66" t="s">
        <v>39</v>
      </c>
      <c r="B24" s="73">
        <v>0</v>
      </c>
      <c r="C24" s="113">
        <v>0</v>
      </c>
      <c r="D24" s="65" t="s">
        <v>40</v>
      </c>
      <c r="E24" s="113">
        <v>68490202.81</v>
      </c>
      <c r="F24" s="113">
        <v>66073294.52</v>
      </c>
    </row>
    <row r="25" spans="1:6" ht="15">
      <c r="A25" s="20" t="s">
        <v>41</v>
      </c>
      <c r="B25" s="75">
        <f>SUM(B26:B30)</f>
        <v>38965373.84</v>
      </c>
      <c r="C25" s="75">
        <f>SUM(C26:C30)</f>
        <v>88234946.46</v>
      </c>
      <c r="D25" s="65" t="s">
        <v>42</v>
      </c>
      <c r="E25" s="73">
        <v>0</v>
      </c>
      <c r="F25" s="113">
        <v>0</v>
      </c>
    </row>
    <row r="26" spans="1:6" ht="15">
      <c r="A26" s="66" t="s">
        <v>43</v>
      </c>
      <c r="B26" s="73">
        <v>0</v>
      </c>
      <c r="C26" s="113">
        <v>0</v>
      </c>
      <c r="D26" s="102" t="s">
        <v>44</v>
      </c>
      <c r="E26" s="75">
        <v>0</v>
      </c>
      <c r="F26" s="75">
        <v>0</v>
      </c>
    </row>
    <row r="27" spans="1:6" ht="15">
      <c r="A27" s="66" t="s">
        <v>45</v>
      </c>
      <c r="B27" s="113">
        <v>0</v>
      </c>
      <c r="C27" s="113">
        <v>47808451.07</v>
      </c>
      <c r="D27" s="102" t="s">
        <v>46</v>
      </c>
      <c r="E27" s="75">
        <f>SUM(E28:E30)</f>
        <v>0</v>
      </c>
      <c r="F27" s="75">
        <f>SUM(F28:F30)</f>
        <v>0</v>
      </c>
    </row>
    <row r="28" spans="1:6" ht="15">
      <c r="A28" s="66" t="s">
        <v>47</v>
      </c>
      <c r="B28" s="73">
        <v>0</v>
      </c>
      <c r="C28" s="113">
        <v>6951173.8</v>
      </c>
      <c r="D28" s="65" t="s">
        <v>48</v>
      </c>
      <c r="E28" s="73">
        <v>0</v>
      </c>
      <c r="F28" s="113">
        <v>0</v>
      </c>
    </row>
    <row r="29" spans="1:6" ht="15">
      <c r="A29" s="66" t="s">
        <v>49</v>
      </c>
      <c r="B29" s="113">
        <v>38965373.84</v>
      </c>
      <c r="C29" s="113">
        <v>33475321.59</v>
      </c>
      <c r="D29" s="65" t="s">
        <v>50</v>
      </c>
      <c r="E29" s="73">
        <v>0</v>
      </c>
      <c r="F29" s="113">
        <v>0</v>
      </c>
    </row>
    <row r="30" spans="1:6" ht="15">
      <c r="A30" s="66" t="s">
        <v>51</v>
      </c>
      <c r="B30" s="73">
        <v>0</v>
      </c>
      <c r="C30" s="113">
        <v>0</v>
      </c>
      <c r="D30" s="65" t="s">
        <v>52</v>
      </c>
      <c r="E30" s="73">
        <v>0</v>
      </c>
      <c r="F30" s="113">
        <v>0</v>
      </c>
    </row>
    <row r="31" spans="1:6" ht="15">
      <c r="A31" s="20" t="s">
        <v>53</v>
      </c>
      <c r="B31" s="75">
        <f>SUM(B32:B36)</f>
        <v>0</v>
      </c>
      <c r="C31" s="75">
        <f>SUM(C32:C36)</f>
        <v>0</v>
      </c>
      <c r="D31" s="102" t="s">
        <v>54</v>
      </c>
      <c r="E31" s="75">
        <f>SUM(E32:E37)</f>
        <v>120187510.03</v>
      </c>
      <c r="F31" s="75">
        <f>SUM(F32:F37)</f>
        <v>112344042.66</v>
      </c>
    </row>
    <row r="32" spans="1:6" ht="15">
      <c r="A32" s="66" t="s">
        <v>55</v>
      </c>
      <c r="B32" s="73">
        <v>0</v>
      </c>
      <c r="C32" s="113">
        <v>0</v>
      </c>
      <c r="D32" s="65" t="s">
        <v>56</v>
      </c>
      <c r="E32" s="113">
        <v>71060471.92</v>
      </c>
      <c r="F32" s="113">
        <v>67834719.22</v>
      </c>
    </row>
    <row r="33" spans="1:6" ht="15">
      <c r="A33" s="66" t="s">
        <v>57</v>
      </c>
      <c r="B33" s="73">
        <v>0</v>
      </c>
      <c r="C33" s="113">
        <v>0</v>
      </c>
      <c r="D33" s="65" t="s">
        <v>58</v>
      </c>
      <c r="E33" s="113">
        <v>49127038.11</v>
      </c>
      <c r="F33" s="113">
        <v>44509323.44</v>
      </c>
    </row>
    <row r="34" spans="1:6" ht="15">
      <c r="A34" s="66" t="s">
        <v>59</v>
      </c>
      <c r="B34" s="73">
        <v>0</v>
      </c>
      <c r="C34" s="113">
        <v>0</v>
      </c>
      <c r="D34" s="65" t="s">
        <v>60</v>
      </c>
      <c r="E34" s="73">
        <v>0</v>
      </c>
      <c r="F34" s="113">
        <v>0</v>
      </c>
    </row>
    <row r="35" spans="1:6" ht="15">
      <c r="A35" s="66" t="s">
        <v>61</v>
      </c>
      <c r="B35" s="73">
        <v>0</v>
      </c>
      <c r="C35" s="113">
        <v>0</v>
      </c>
      <c r="D35" s="65" t="s">
        <v>62</v>
      </c>
      <c r="E35" s="73">
        <v>0</v>
      </c>
      <c r="F35" s="113">
        <v>0</v>
      </c>
    </row>
    <row r="36" spans="1:6" ht="15">
      <c r="A36" s="66" t="s">
        <v>63</v>
      </c>
      <c r="B36" s="73">
        <v>0</v>
      </c>
      <c r="C36" s="113">
        <v>0</v>
      </c>
      <c r="D36" s="65" t="s">
        <v>64</v>
      </c>
      <c r="E36" s="73">
        <v>0</v>
      </c>
      <c r="F36" s="113">
        <v>0</v>
      </c>
    </row>
    <row r="37" spans="1:6" ht="15">
      <c r="A37" s="20" t="s">
        <v>65</v>
      </c>
      <c r="B37" s="73">
        <v>0</v>
      </c>
      <c r="C37" s="113">
        <v>0</v>
      </c>
      <c r="D37" s="65" t="s">
        <v>66</v>
      </c>
      <c r="E37" s="73">
        <v>0</v>
      </c>
      <c r="F37" s="113">
        <v>0</v>
      </c>
    </row>
    <row r="38" spans="1:6" ht="15">
      <c r="A38" s="20" t="s">
        <v>67</v>
      </c>
      <c r="B38" s="75">
        <f>SUM(B39:B40)</f>
        <v>0</v>
      </c>
      <c r="C38" s="75">
        <f>SUM(C39:C40)</f>
        <v>0</v>
      </c>
      <c r="D38" s="102" t="s">
        <v>68</v>
      </c>
      <c r="E38" s="75">
        <f>SUM(E39:E41)</f>
        <v>0</v>
      </c>
      <c r="F38" s="75">
        <f>SUM(F39:F41)</f>
        <v>0</v>
      </c>
    </row>
    <row r="39" spans="1:6" ht="15">
      <c r="A39" s="66" t="s">
        <v>69</v>
      </c>
      <c r="B39" s="73">
        <v>0</v>
      </c>
      <c r="C39" s="113">
        <v>0</v>
      </c>
      <c r="D39" s="65" t="s">
        <v>70</v>
      </c>
      <c r="E39" s="73">
        <v>0</v>
      </c>
      <c r="F39" s="113">
        <v>0</v>
      </c>
    </row>
    <row r="40" spans="1:6" ht="15">
      <c r="A40" s="66" t="s">
        <v>71</v>
      </c>
      <c r="B40" s="73">
        <v>0</v>
      </c>
      <c r="C40" s="113">
        <v>0</v>
      </c>
      <c r="D40" s="65" t="s">
        <v>72</v>
      </c>
      <c r="E40" s="73">
        <v>0</v>
      </c>
      <c r="F40" s="113">
        <v>0</v>
      </c>
    </row>
    <row r="41" spans="1:6" ht="15">
      <c r="A41" s="20" t="s">
        <v>73</v>
      </c>
      <c r="B41" s="75">
        <f>SUM(B42:B45)</f>
        <v>1987411.6</v>
      </c>
      <c r="C41" s="75">
        <f>SUM(C42:C45)</f>
        <v>1987411.6</v>
      </c>
      <c r="D41" s="65" t="s">
        <v>74</v>
      </c>
      <c r="E41" s="73">
        <v>0</v>
      </c>
      <c r="F41" s="113">
        <v>0</v>
      </c>
    </row>
    <row r="42" spans="1:6" ht="15">
      <c r="A42" s="66" t="s">
        <v>75</v>
      </c>
      <c r="B42" s="113">
        <v>1987411.6</v>
      </c>
      <c r="C42" s="113">
        <v>1987411.6</v>
      </c>
      <c r="D42" s="102" t="s">
        <v>76</v>
      </c>
      <c r="E42" s="75">
        <f>SUM(E43:E45)</f>
        <v>0</v>
      </c>
      <c r="F42" s="75">
        <f>SUM(F43:F45)</f>
        <v>0</v>
      </c>
    </row>
    <row r="43" spans="1:6" ht="15">
      <c r="A43" s="66" t="s">
        <v>77</v>
      </c>
      <c r="B43" s="73">
        <v>0</v>
      </c>
      <c r="C43" s="113">
        <v>0</v>
      </c>
      <c r="D43" s="65" t="s">
        <v>78</v>
      </c>
      <c r="E43" s="73">
        <v>0</v>
      </c>
      <c r="F43" s="113">
        <v>0</v>
      </c>
    </row>
    <row r="44" spans="1:6" ht="15">
      <c r="A44" s="66" t="s">
        <v>79</v>
      </c>
      <c r="B44" s="73">
        <v>0</v>
      </c>
      <c r="C44" s="113">
        <v>0</v>
      </c>
      <c r="D44" s="65" t="s">
        <v>80</v>
      </c>
      <c r="E44" s="73">
        <v>0</v>
      </c>
      <c r="F44" s="113">
        <v>0</v>
      </c>
    </row>
    <row r="45" spans="1:6" ht="15">
      <c r="A45" s="66" t="s">
        <v>81</v>
      </c>
      <c r="B45" s="73">
        <v>0</v>
      </c>
      <c r="C45" s="113">
        <v>0</v>
      </c>
      <c r="D45" s="65" t="s">
        <v>82</v>
      </c>
      <c r="E45" s="73">
        <v>0</v>
      </c>
      <c r="F45" s="113">
        <v>0</v>
      </c>
    </row>
    <row r="46" spans="1:6" ht="15">
      <c r="A46" s="29"/>
      <c r="B46" s="74"/>
      <c r="C46" s="74"/>
      <c r="D46" s="29"/>
      <c r="E46" s="74"/>
      <c r="F46" s="74"/>
    </row>
    <row r="47" spans="1:6" ht="15">
      <c r="A47" s="20" t="s">
        <v>83</v>
      </c>
      <c r="B47" s="75">
        <f>B9+B17+B25+B31+B38+B41</f>
        <v>5995968663.950001</v>
      </c>
      <c r="C47" s="75">
        <f>C9+C17+C25+C31+C38+C41</f>
        <v>5097762865.38</v>
      </c>
      <c r="D47" s="62" t="s">
        <v>84</v>
      </c>
      <c r="E47" s="75">
        <f>E9+E19+E23+E26+E27+E31+E38+E42</f>
        <v>316460529.11</v>
      </c>
      <c r="F47" s="75">
        <f>F9+F19+F23+F26+F27+F31+F38+F42</f>
        <v>366305798.67</v>
      </c>
    </row>
    <row r="48" spans="1:6" ht="15">
      <c r="A48" s="29"/>
      <c r="B48" s="74"/>
      <c r="C48" s="74"/>
      <c r="D48" s="29"/>
      <c r="E48" s="74"/>
      <c r="F48" s="74"/>
    </row>
    <row r="49" spans="1:6" ht="15">
      <c r="A49" s="52" t="s">
        <v>85</v>
      </c>
      <c r="B49" s="74"/>
      <c r="C49" s="74"/>
      <c r="D49" s="62" t="s">
        <v>86</v>
      </c>
      <c r="E49" s="74"/>
      <c r="F49" s="74"/>
    </row>
    <row r="50" spans="1:6" ht="15">
      <c r="A50" s="19" t="s">
        <v>87</v>
      </c>
      <c r="B50" s="113">
        <v>168944792.98</v>
      </c>
      <c r="C50" s="113">
        <v>149240667.95</v>
      </c>
      <c r="D50" s="63" t="s">
        <v>88</v>
      </c>
      <c r="E50" s="73">
        <v>0</v>
      </c>
      <c r="F50" s="113">
        <v>0</v>
      </c>
    </row>
    <row r="51" spans="1:6" ht="15">
      <c r="A51" s="19" t="s">
        <v>89</v>
      </c>
      <c r="B51" s="113">
        <v>248264056.84</v>
      </c>
      <c r="C51" s="113">
        <v>276876555.94</v>
      </c>
      <c r="D51" s="63" t="s">
        <v>90</v>
      </c>
      <c r="E51" s="73">
        <v>0</v>
      </c>
      <c r="F51" s="113">
        <v>0</v>
      </c>
    </row>
    <row r="52" spans="1:6" ht="15">
      <c r="A52" s="19" t="s">
        <v>91</v>
      </c>
      <c r="B52" s="113">
        <v>15353921508.11</v>
      </c>
      <c r="C52" s="113">
        <v>15261770863.24</v>
      </c>
      <c r="D52" s="63" t="s">
        <v>92</v>
      </c>
      <c r="E52" s="113">
        <v>2065774084.87</v>
      </c>
      <c r="F52" s="113">
        <v>2083830284.56</v>
      </c>
    </row>
    <row r="53" spans="1:6" ht="15">
      <c r="A53" s="19" t="s">
        <v>93</v>
      </c>
      <c r="B53" s="113">
        <v>1995834258.18</v>
      </c>
      <c r="C53" s="113">
        <v>1872189335.75</v>
      </c>
      <c r="D53" s="63" t="s">
        <v>94</v>
      </c>
      <c r="E53" s="113">
        <v>13500000</v>
      </c>
      <c r="F53" s="113">
        <v>13500000</v>
      </c>
    </row>
    <row r="54" spans="1:6" ht="15">
      <c r="A54" s="19" t="s">
        <v>95</v>
      </c>
      <c r="B54" s="113">
        <v>135357838.34</v>
      </c>
      <c r="C54" s="113">
        <v>119463237.16</v>
      </c>
      <c r="D54" s="63" t="s">
        <v>96</v>
      </c>
      <c r="E54" s="73">
        <v>0</v>
      </c>
      <c r="F54" s="113">
        <v>0</v>
      </c>
    </row>
    <row r="55" spans="1:6" ht="15">
      <c r="A55" s="19" t="s">
        <v>97</v>
      </c>
      <c r="B55" s="113">
        <v>-1406300371.18</v>
      </c>
      <c r="C55" s="113">
        <v>-1362065078.04</v>
      </c>
      <c r="D55" s="67" t="s">
        <v>98</v>
      </c>
      <c r="E55" s="73">
        <v>0</v>
      </c>
      <c r="F55" s="113">
        <v>0</v>
      </c>
    </row>
    <row r="56" spans="1:6" ht="15">
      <c r="A56" s="19" t="s">
        <v>99</v>
      </c>
      <c r="B56" s="73">
        <v>0</v>
      </c>
      <c r="C56" s="113">
        <v>0</v>
      </c>
      <c r="D56" s="29"/>
      <c r="E56" s="74"/>
      <c r="F56" s="74"/>
    </row>
    <row r="57" spans="1:6" ht="15">
      <c r="A57" s="19" t="s">
        <v>100</v>
      </c>
      <c r="B57" s="73">
        <v>0</v>
      </c>
      <c r="C57" s="113">
        <v>0</v>
      </c>
      <c r="D57" s="62" t="s">
        <v>101</v>
      </c>
      <c r="E57" s="75">
        <f>SUM(E50:E55)</f>
        <v>2079274084.87</v>
      </c>
      <c r="F57" s="75">
        <f>SUM(F50:F55)</f>
        <v>2097330284.56</v>
      </c>
    </row>
    <row r="58" spans="1:6" ht="15">
      <c r="A58" s="19" t="s">
        <v>102</v>
      </c>
      <c r="B58" s="73">
        <v>0</v>
      </c>
      <c r="C58" s="113">
        <v>0</v>
      </c>
      <c r="D58" s="29"/>
      <c r="E58" s="74"/>
      <c r="F58" s="74"/>
    </row>
    <row r="59" spans="1:6" ht="15">
      <c r="A59" s="29"/>
      <c r="B59" s="74"/>
      <c r="C59" s="74"/>
      <c r="D59" s="62" t="s">
        <v>103</v>
      </c>
      <c r="E59" s="75">
        <f>E47+E57</f>
        <v>2395734613.98</v>
      </c>
      <c r="F59" s="75">
        <f>F47+F57</f>
        <v>2463636083.23</v>
      </c>
    </row>
    <row r="60" spans="1:6" ht="15">
      <c r="A60" s="20" t="s">
        <v>104</v>
      </c>
      <c r="B60" s="75">
        <f>SUM(B50:B58)</f>
        <v>16496022083.27</v>
      </c>
      <c r="C60" s="75">
        <f>SUM(C50:C58)</f>
        <v>16317475581.999996</v>
      </c>
      <c r="D60" s="29"/>
      <c r="E60" s="74"/>
      <c r="F60" s="74"/>
    </row>
    <row r="61" spans="1:6" ht="15">
      <c r="A61" s="29"/>
      <c r="B61" s="74"/>
      <c r="C61" s="74"/>
      <c r="D61" s="68" t="s">
        <v>105</v>
      </c>
      <c r="E61" s="74"/>
      <c r="F61" s="74"/>
    </row>
    <row r="62" spans="1:6" ht="15">
      <c r="A62" s="20" t="s">
        <v>106</v>
      </c>
      <c r="B62" s="75">
        <f>SUM(B47+B60)</f>
        <v>22491990747.22</v>
      </c>
      <c r="C62" s="75">
        <f>SUM(C47+C60)</f>
        <v>21415238447.379997</v>
      </c>
      <c r="D62" s="29"/>
      <c r="E62" s="74"/>
      <c r="F62" s="74"/>
    </row>
    <row r="63" spans="1:6" ht="15">
      <c r="A63" s="29"/>
      <c r="B63" s="72"/>
      <c r="C63" s="72"/>
      <c r="D63" s="62" t="s">
        <v>107</v>
      </c>
      <c r="E63" s="75">
        <f>SUM(E64:E66)</f>
        <v>3588602426.55</v>
      </c>
      <c r="F63" s="75">
        <f>SUM(F64:F66)</f>
        <v>3588886316.6499996</v>
      </c>
    </row>
    <row r="64" spans="1:6" ht="15">
      <c r="A64" s="29"/>
      <c r="B64" s="72"/>
      <c r="C64" s="72"/>
      <c r="D64" s="69" t="s">
        <v>108</v>
      </c>
      <c r="E64" s="113">
        <v>2778136319.25</v>
      </c>
      <c r="F64" s="113">
        <v>2778420209.35</v>
      </c>
    </row>
    <row r="65" spans="1:6" ht="15">
      <c r="A65" s="29"/>
      <c r="B65" s="72"/>
      <c r="C65" s="72"/>
      <c r="D65" s="70" t="s">
        <v>109</v>
      </c>
      <c r="E65" s="113">
        <v>810466107.3</v>
      </c>
      <c r="F65" s="113">
        <v>810466107.3</v>
      </c>
    </row>
    <row r="66" spans="1:6" ht="15">
      <c r="A66" s="29"/>
      <c r="B66" s="72"/>
      <c r="C66" s="72"/>
      <c r="D66" s="69" t="s">
        <v>110</v>
      </c>
      <c r="E66" s="73">
        <v>0</v>
      </c>
      <c r="F66" s="113">
        <v>0</v>
      </c>
    </row>
    <row r="67" spans="1:6" ht="15">
      <c r="A67" s="29"/>
      <c r="B67" s="72"/>
      <c r="C67" s="72"/>
      <c r="D67" s="29"/>
      <c r="E67" s="74"/>
      <c r="F67" s="74"/>
    </row>
    <row r="68" spans="1:6" ht="15">
      <c r="A68" s="29"/>
      <c r="B68" s="72"/>
      <c r="C68" s="72"/>
      <c r="D68" s="62" t="s">
        <v>111</v>
      </c>
      <c r="E68" s="75">
        <f>SUM(E69:E73)</f>
        <v>16507653706.69</v>
      </c>
      <c r="F68" s="75">
        <f>SUM(F69:F73)</f>
        <v>15362716047.5</v>
      </c>
    </row>
    <row r="69" spans="1:6" ht="15">
      <c r="A69" s="49"/>
      <c r="B69" s="72"/>
      <c r="C69" s="72"/>
      <c r="D69" s="69" t="s">
        <v>112</v>
      </c>
      <c r="E69" s="113">
        <v>1174624924.5699997</v>
      </c>
      <c r="F69" s="113">
        <v>3508854275.049999</v>
      </c>
    </row>
    <row r="70" spans="1:6" ht="15">
      <c r="A70" s="49"/>
      <c r="B70" s="72"/>
      <c r="C70" s="72"/>
      <c r="D70" s="69" t="s">
        <v>113</v>
      </c>
      <c r="E70" s="113">
        <v>14345337214.52</v>
      </c>
      <c r="F70" s="113">
        <v>10866170204.85</v>
      </c>
    </row>
    <row r="71" spans="1:6" ht="15">
      <c r="A71" s="49"/>
      <c r="B71" s="72"/>
      <c r="C71" s="72"/>
      <c r="D71" s="69" t="s">
        <v>114</v>
      </c>
      <c r="E71" s="113">
        <v>987691567.6</v>
      </c>
      <c r="F71" s="113">
        <v>987691567.6</v>
      </c>
    </row>
    <row r="72" spans="1:6" ht="15">
      <c r="A72" s="49"/>
      <c r="B72" s="72"/>
      <c r="C72" s="72"/>
      <c r="D72" s="69" t="s">
        <v>115</v>
      </c>
      <c r="E72" s="73">
        <v>0</v>
      </c>
      <c r="F72" s="113">
        <v>0</v>
      </c>
    </row>
    <row r="73" spans="1:6" ht="15">
      <c r="A73" s="49"/>
      <c r="B73" s="72"/>
      <c r="C73" s="72"/>
      <c r="D73" s="69" t="s">
        <v>116</v>
      </c>
      <c r="E73" s="73">
        <v>0</v>
      </c>
      <c r="F73" s="113">
        <v>0</v>
      </c>
    </row>
    <row r="74" spans="1:6" ht="15">
      <c r="A74" s="49"/>
      <c r="B74" s="72"/>
      <c r="C74" s="72"/>
      <c r="D74" s="29"/>
      <c r="E74" s="74"/>
      <c r="F74" s="74"/>
    </row>
    <row r="75" spans="1:6" ht="15">
      <c r="A75" s="49"/>
      <c r="B75" s="72"/>
      <c r="C75" s="72"/>
      <c r="D75" s="62" t="s">
        <v>117</v>
      </c>
      <c r="E75" s="75">
        <f>E76+E77</f>
        <v>0</v>
      </c>
      <c r="F75" s="75">
        <f>F76+F77</f>
        <v>0</v>
      </c>
    </row>
    <row r="76" spans="1:6" ht="15">
      <c r="A76" s="49"/>
      <c r="B76" s="72"/>
      <c r="C76" s="72"/>
      <c r="D76" s="63" t="s">
        <v>118</v>
      </c>
      <c r="E76" s="73">
        <v>0</v>
      </c>
      <c r="F76" s="113">
        <v>0</v>
      </c>
    </row>
    <row r="77" spans="1:6" ht="15">
      <c r="A77" s="49"/>
      <c r="B77" s="72"/>
      <c r="C77" s="72"/>
      <c r="D77" s="63" t="s">
        <v>119</v>
      </c>
      <c r="E77" s="73">
        <v>0</v>
      </c>
      <c r="F77" s="113">
        <v>0</v>
      </c>
    </row>
    <row r="78" spans="1:6" ht="15">
      <c r="A78" s="49"/>
      <c r="B78" s="72"/>
      <c r="C78" s="72"/>
      <c r="D78" s="29"/>
      <c r="E78" s="74"/>
      <c r="F78" s="74"/>
    </row>
    <row r="79" spans="1:6" ht="15">
      <c r="A79" s="49"/>
      <c r="B79" s="72"/>
      <c r="C79" s="72"/>
      <c r="D79" s="62" t="s">
        <v>120</v>
      </c>
      <c r="E79" s="75">
        <f>E63+E68+E75</f>
        <v>20096256133.24</v>
      </c>
      <c r="F79" s="75">
        <f>F63+F68+F75</f>
        <v>18951602364.15</v>
      </c>
    </row>
    <row r="80" spans="1:6" ht="15">
      <c r="A80" s="49"/>
      <c r="B80" s="72"/>
      <c r="C80" s="72"/>
      <c r="D80" s="29"/>
      <c r="E80" s="74"/>
      <c r="F80" s="74"/>
    </row>
    <row r="81" spans="1:6" ht="15">
      <c r="A81" s="49"/>
      <c r="B81" s="72"/>
      <c r="C81" s="72"/>
      <c r="D81" s="62" t="s">
        <v>121</v>
      </c>
      <c r="E81" s="75">
        <f>E59+E79</f>
        <v>22491990747.22</v>
      </c>
      <c r="F81" s="75">
        <f>F59+F79</f>
        <v>21415238447.38</v>
      </c>
    </row>
    <row r="82" spans="1:6" ht="15">
      <c r="A82" s="35"/>
      <c r="B82" s="76"/>
      <c r="C82" s="76"/>
      <c r="D82" s="30"/>
      <c r="E82" s="76"/>
      <c r="F82" s="76"/>
    </row>
    <row r="83" spans="5:6" ht="15">
      <c r="E83" s="114"/>
      <c r="F83" s="114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47:F47 E9:F45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41" r:id="rId1"/>
  <ignoredErrors>
    <ignoredError sqref="B62 B60 B47 B41 B38 B25:C25 B17:C17 B9:C9 E9 E31 E27 E23 E19 E38 E42 E47 E57 E59 E63 E68 E75 E79 E81 C38:C41 C60:C62 F9 F7:F8 F48:F51 C46:C47 F19:F23 F25:F31 F34:F47 F54:F63 F66:F68 F72:F81" unlockedFormula="1"/>
    <ignoredError sqref="B31:C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="85" zoomScaleNormal="85" zoomScalePageLayoutView="0" workbookViewId="0" topLeftCell="A1">
      <selection activeCell="E28" sqref="E28"/>
    </sheetView>
  </sheetViews>
  <sheetFormatPr defaultColWidth="1.1484375" defaultRowHeight="15" zeroHeight="1"/>
  <cols>
    <col min="1" max="1" width="59.140625" style="0" customWidth="1"/>
    <col min="2" max="2" width="22.28125" style="77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255" width="11.421875" style="0" hidden="1" customWidth="1"/>
  </cols>
  <sheetData>
    <row r="1" spans="1:8" ht="26.25">
      <c r="A1" s="162" t="s">
        <v>122</v>
      </c>
      <c r="B1" s="162"/>
      <c r="C1" s="162"/>
      <c r="D1" s="162"/>
      <c r="E1" s="162"/>
      <c r="F1" s="162"/>
      <c r="G1" s="162"/>
      <c r="H1" s="162"/>
    </row>
    <row r="2" spans="1:8" ht="15">
      <c r="A2" s="148" t="s">
        <v>286</v>
      </c>
      <c r="B2" s="149"/>
      <c r="C2" s="149"/>
      <c r="D2" s="149"/>
      <c r="E2" s="149"/>
      <c r="F2" s="149"/>
      <c r="G2" s="149"/>
      <c r="H2" s="150"/>
    </row>
    <row r="3" spans="1:8" ht="15">
      <c r="A3" s="151" t="s">
        <v>123</v>
      </c>
      <c r="B3" s="152"/>
      <c r="C3" s="152"/>
      <c r="D3" s="152"/>
      <c r="E3" s="152"/>
      <c r="F3" s="152"/>
      <c r="G3" s="152"/>
      <c r="H3" s="153"/>
    </row>
    <row r="4" spans="1:8" ht="15">
      <c r="A4" s="154" t="s">
        <v>479</v>
      </c>
      <c r="B4" s="155"/>
      <c r="C4" s="155"/>
      <c r="D4" s="155"/>
      <c r="E4" s="155"/>
      <c r="F4" s="155"/>
      <c r="G4" s="155"/>
      <c r="H4" s="156"/>
    </row>
    <row r="5" spans="1:8" ht="15">
      <c r="A5" s="157" t="s">
        <v>2</v>
      </c>
      <c r="B5" s="158"/>
      <c r="C5" s="158"/>
      <c r="D5" s="158"/>
      <c r="E5" s="158"/>
      <c r="F5" s="158"/>
      <c r="G5" s="158"/>
      <c r="H5" s="159"/>
    </row>
    <row r="6" spans="1:8" ht="91.5" customHeight="1">
      <c r="A6" s="5" t="s">
        <v>124</v>
      </c>
      <c r="B6" s="79" t="s">
        <v>480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49"/>
      <c r="B7" s="80"/>
      <c r="C7" s="49"/>
      <c r="D7" s="49"/>
      <c r="E7" s="49"/>
      <c r="F7" s="49"/>
      <c r="G7" s="49"/>
      <c r="H7" s="49"/>
    </row>
    <row r="8" spans="1:8" ht="15">
      <c r="A8" s="54" t="s">
        <v>131</v>
      </c>
      <c r="B8" s="75">
        <f>B9+B13</f>
        <v>2149903579.08</v>
      </c>
      <c r="C8" s="75">
        <f aca="true" t="shared" si="0" ref="C8:H8">C9+C13</f>
        <v>0</v>
      </c>
      <c r="D8" s="75">
        <f t="shared" si="0"/>
        <v>15639291.4</v>
      </c>
      <c r="E8" s="75">
        <f t="shared" si="0"/>
        <v>0</v>
      </c>
      <c r="F8" s="75">
        <f t="shared" si="0"/>
        <v>2134264287.68</v>
      </c>
      <c r="G8" s="75">
        <f>G9+G13</f>
        <v>64729880.01914585</v>
      </c>
      <c r="H8" s="75">
        <f t="shared" si="0"/>
        <v>0</v>
      </c>
    </row>
    <row r="9" spans="1:8" ht="15">
      <c r="A9" s="55" t="s">
        <v>132</v>
      </c>
      <c r="B9" s="73">
        <f>SUM(B10:B12)</f>
        <v>0</v>
      </c>
      <c r="C9" s="73">
        <f aca="true" t="shared" si="1" ref="C9:H9">SUM(C10:C12)</f>
        <v>0</v>
      </c>
      <c r="D9" s="73">
        <f t="shared" si="1"/>
        <v>0</v>
      </c>
      <c r="E9" s="73">
        <f t="shared" si="1"/>
        <v>0</v>
      </c>
      <c r="F9" s="73">
        <f>SUM(F10:F12)</f>
        <v>0</v>
      </c>
      <c r="G9" s="73">
        <f t="shared" si="1"/>
        <v>0</v>
      </c>
      <c r="H9" s="73">
        <f t="shared" si="1"/>
        <v>0</v>
      </c>
    </row>
    <row r="10" spans="1:8" ht="15">
      <c r="A10" s="56" t="s">
        <v>133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5">
      <c r="A11" s="56" t="s">
        <v>134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5">
      <c r="A12" s="56" t="s">
        <v>135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256" ht="15">
      <c r="A13" s="55" t="s">
        <v>136</v>
      </c>
      <c r="B13" s="73">
        <f aca="true" t="shared" si="2" ref="B13:AG13">SUM(B14+B20+B21)</f>
        <v>2149903579.08</v>
      </c>
      <c r="C13" s="73">
        <f t="shared" si="2"/>
        <v>0</v>
      </c>
      <c r="D13" s="73">
        <f t="shared" si="2"/>
        <v>15639291.4</v>
      </c>
      <c r="E13" s="73">
        <f t="shared" si="2"/>
        <v>0</v>
      </c>
      <c r="F13" s="73">
        <f t="shared" si="2"/>
        <v>2134264287.68</v>
      </c>
      <c r="G13" s="73">
        <f t="shared" si="2"/>
        <v>64729880.01914585</v>
      </c>
      <c r="H13" s="73">
        <f t="shared" si="2"/>
        <v>0</v>
      </c>
      <c r="I13" s="73" t="e">
        <f t="shared" si="2"/>
        <v>#REF!</v>
      </c>
      <c r="J13" s="73" t="e">
        <f t="shared" si="2"/>
        <v>#REF!</v>
      </c>
      <c r="K13" s="73" t="e">
        <f t="shared" si="2"/>
        <v>#REF!</v>
      </c>
      <c r="L13" s="73" t="e">
        <f t="shared" si="2"/>
        <v>#REF!</v>
      </c>
      <c r="M13" s="73" t="e">
        <f t="shared" si="2"/>
        <v>#REF!</v>
      </c>
      <c r="N13" s="73" t="e">
        <f t="shared" si="2"/>
        <v>#REF!</v>
      </c>
      <c r="O13" s="73" t="e">
        <f t="shared" si="2"/>
        <v>#REF!</v>
      </c>
      <c r="P13" s="73" t="e">
        <f t="shared" si="2"/>
        <v>#REF!</v>
      </c>
      <c r="Q13" s="73" t="e">
        <f t="shared" si="2"/>
        <v>#REF!</v>
      </c>
      <c r="R13" s="73" t="e">
        <f t="shared" si="2"/>
        <v>#REF!</v>
      </c>
      <c r="S13" s="73" t="e">
        <f t="shared" si="2"/>
        <v>#REF!</v>
      </c>
      <c r="T13" s="73" t="e">
        <f t="shared" si="2"/>
        <v>#REF!</v>
      </c>
      <c r="U13" s="73" t="e">
        <f t="shared" si="2"/>
        <v>#REF!</v>
      </c>
      <c r="V13" s="73" t="e">
        <f t="shared" si="2"/>
        <v>#REF!</v>
      </c>
      <c r="W13" s="73" t="e">
        <f t="shared" si="2"/>
        <v>#REF!</v>
      </c>
      <c r="X13" s="73" t="e">
        <f t="shared" si="2"/>
        <v>#REF!</v>
      </c>
      <c r="Y13" s="73" t="e">
        <f t="shared" si="2"/>
        <v>#REF!</v>
      </c>
      <c r="Z13" s="73" t="e">
        <f t="shared" si="2"/>
        <v>#REF!</v>
      </c>
      <c r="AA13" s="73" t="e">
        <f t="shared" si="2"/>
        <v>#REF!</v>
      </c>
      <c r="AB13" s="73" t="e">
        <f t="shared" si="2"/>
        <v>#REF!</v>
      </c>
      <c r="AC13" s="73" t="e">
        <f t="shared" si="2"/>
        <v>#REF!</v>
      </c>
      <c r="AD13" s="73" t="e">
        <f t="shared" si="2"/>
        <v>#REF!</v>
      </c>
      <c r="AE13" s="73" t="e">
        <f t="shared" si="2"/>
        <v>#REF!</v>
      </c>
      <c r="AF13" s="73" t="e">
        <f t="shared" si="2"/>
        <v>#REF!</v>
      </c>
      <c r="AG13" s="73" t="e">
        <f t="shared" si="2"/>
        <v>#REF!</v>
      </c>
      <c r="AH13" s="73" t="e">
        <f aca="true" t="shared" si="3" ref="AH13:BM13">SUM(AH14+AH20+AH21)</f>
        <v>#REF!</v>
      </c>
      <c r="AI13" s="73" t="e">
        <f t="shared" si="3"/>
        <v>#REF!</v>
      </c>
      <c r="AJ13" s="73" t="e">
        <f t="shared" si="3"/>
        <v>#REF!</v>
      </c>
      <c r="AK13" s="73" t="e">
        <f t="shared" si="3"/>
        <v>#REF!</v>
      </c>
      <c r="AL13" s="73" t="e">
        <f t="shared" si="3"/>
        <v>#REF!</v>
      </c>
      <c r="AM13" s="73" t="e">
        <f t="shared" si="3"/>
        <v>#REF!</v>
      </c>
      <c r="AN13" s="73" t="e">
        <f t="shared" si="3"/>
        <v>#REF!</v>
      </c>
      <c r="AO13" s="73" t="e">
        <f t="shared" si="3"/>
        <v>#REF!</v>
      </c>
      <c r="AP13" s="73" t="e">
        <f t="shared" si="3"/>
        <v>#REF!</v>
      </c>
      <c r="AQ13" s="73" t="e">
        <f t="shared" si="3"/>
        <v>#REF!</v>
      </c>
      <c r="AR13" s="73" t="e">
        <f t="shared" si="3"/>
        <v>#REF!</v>
      </c>
      <c r="AS13" s="73" t="e">
        <f t="shared" si="3"/>
        <v>#REF!</v>
      </c>
      <c r="AT13" s="73" t="e">
        <f t="shared" si="3"/>
        <v>#REF!</v>
      </c>
      <c r="AU13" s="73" t="e">
        <f t="shared" si="3"/>
        <v>#REF!</v>
      </c>
      <c r="AV13" s="73" t="e">
        <f t="shared" si="3"/>
        <v>#REF!</v>
      </c>
      <c r="AW13" s="73" t="e">
        <f t="shared" si="3"/>
        <v>#REF!</v>
      </c>
      <c r="AX13" s="73" t="e">
        <f t="shared" si="3"/>
        <v>#REF!</v>
      </c>
      <c r="AY13" s="73" t="e">
        <f t="shared" si="3"/>
        <v>#REF!</v>
      </c>
      <c r="AZ13" s="73" t="e">
        <f t="shared" si="3"/>
        <v>#REF!</v>
      </c>
      <c r="BA13" s="73" t="e">
        <f t="shared" si="3"/>
        <v>#REF!</v>
      </c>
      <c r="BB13" s="73" t="e">
        <f t="shared" si="3"/>
        <v>#REF!</v>
      </c>
      <c r="BC13" s="73" t="e">
        <f t="shared" si="3"/>
        <v>#REF!</v>
      </c>
      <c r="BD13" s="73" t="e">
        <f t="shared" si="3"/>
        <v>#REF!</v>
      </c>
      <c r="BE13" s="73" t="e">
        <f t="shared" si="3"/>
        <v>#REF!</v>
      </c>
      <c r="BF13" s="73" t="e">
        <f t="shared" si="3"/>
        <v>#REF!</v>
      </c>
      <c r="BG13" s="73" t="e">
        <f t="shared" si="3"/>
        <v>#REF!</v>
      </c>
      <c r="BH13" s="73" t="e">
        <f t="shared" si="3"/>
        <v>#REF!</v>
      </c>
      <c r="BI13" s="73" t="e">
        <f t="shared" si="3"/>
        <v>#REF!</v>
      </c>
      <c r="BJ13" s="73" t="e">
        <f t="shared" si="3"/>
        <v>#REF!</v>
      </c>
      <c r="BK13" s="73" t="e">
        <f t="shared" si="3"/>
        <v>#REF!</v>
      </c>
      <c r="BL13" s="73" t="e">
        <f t="shared" si="3"/>
        <v>#REF!</v>
      </c>
      <c r="BM13" s="73" t="e">
        <f t="shared" si="3"/>
        <v>#REF!</v>
      </c>
      <c r="BN13" s="73" t="e">
        <f aca="true" t="shared" si="4" ref="BN13:DY13">SUM(BN14+BN20+BN21)</f>
        <v>#REF!</v>
      </c>
      <c r="BO13" s="73" t="e">
        <f t="shared" si="4"/>
        <v>#REF!</v>
      </c>
      <c r="BP13" s="73" t="e">
        <f t="shared" si="4"/>
        <v>#REF!</v>
      </c>
      <c r="BQ13" s="73" t="e">
        <f t="shared" si="4"/>
        <v>#REF!</v>
      </c>
      <c r="BR13" s="73" t="e">
        <f t="shared" si="4"/>
        <v>#REF!</v>
      </c>
      <c r="BS13" s="73" t="e">
        <f t="shared" si="4"/>
        <v>#REF!</v>
      </c>
      <c r="BT13" s="73" t="e">
        <f t="shared" si="4"/>
        <v>#REF!</v>
      </c>
      <c r="BU13" s="73" t="e">
        <f t="shared" si="4"/>
        <v>#REF!</v>
      </c>
      <c r="BV13" s="73" t="e">
        <f t="shared" si="4"/>
        <v>#REF!</v>
      </c>
      <c r="BW13" s="73" t="e">
        <f t="shared" si="4"/>
        <v>#REF!</v>
      </c>
      <c r="BX13" s="73" t="e">
        <f t="shared" si="4"/>
        <v>#REF!</v>
      </c>
      <c r="BY13" s="73" t="e">
        <f t="shared" si="4"/>
        <v>#REF!</v>
      </c>
      <c r="BZ13" s="73" t="e">
        <f t="shared" si="4"/>
        <v>#REF!</v>
      </c>
      <c r="CA13" s="73" t="e">
        <f t="shared" si="4"/>
        <v>#REF!</v>
      </c>
      <c r="CB13" s="73" t="e">
        <f t="shared" si="4"/>
        <v>#REF!</v>
      </c>
      <c r="CC13" s="73" t="e">
        <f t="shared" si="4"/>
        <v>#REF!</v>
      </c>
      <c r="CD13" s="73" t="e">
        <f t="shared" si="4"/>
        <v>#REF!</v>
      </c>
      <c r="CE13" s="73" t="e">
        <f t="shared" si="4"/>
        <v>#REF!</v>
      </c>
      <c r="CF13" s="73" t="e">
        <f t="shared" si="4"/>
        <v>#REF!</v>
      </c>
      <c r="CG13" s="73" t="e">
        <f t="shared" si="4"/>
        <v>#REF!</v>
      </c>
      <c r="CH13" s="73" t="e">
        <f t="shared" si="4"/>
        <v>#REF!</v>
      </c>
      <c r="CI13" s="73" t="e">
        <f t="shared" si="4"/>
        <v>#REF!</v>
      </c>
      <c r="CJ13" s="73" t="e">
        <f t="shared" si="4"/>
        <v>#REF!</v>
      </c>
      <c r="CK13" s="73" t="e">
        <f t="shared" si="4"/>
        <v>#REF!</v>
      </c>
      <c r="CL13" s="73" t="e">
        <f t="shared" si="4"/>
        <v>#REF!</v>
      </c>
      <c r="CM13" s="73" t="e">
        <f t="shared" si="4"/>
        <v>#REF!</v>
      </c>
      <c r="CN13" s="73" t="e">
        <f t="shared" si="4"/>
        <v>#REF!</v>
      </c>
      <c r="CO13" s="73" t="e">
        <f t="shared" si="4"/>
        <v>#REF!</v>
      </c>
      <c r="CP13" s="73" t="e">
        <f t="shared" si="4"/>
        <v>#REF!</v>
      </c>
      <c r="CQ13" s="73" t="e">
        <f t="shared" si="4"/>
        <v>#REF!</v>
      </c>
      <c r="CR13" s="73" t="e">
        <f t="shared" si="4"/>
        <v>#REF!</v>
      </c>
      <c r="CS13" s="73" t="e">
        <f t="shared" si="4"/>
        <v>#REF!</v>
      </c>
      <c r="CT13" s="73" t="e">
        <f t="shared" si="4"/>
        <v>#REF!</v>
      </c>
      <c r="CU13" s="73" t="e">
        <f t="shared" si="4"/>
        <v>#REF!</v>
      </c>
      <c r="CV13" s="73" t="e">
        <f t="shared" si="4"/>
        <v>#REF!</v>
      </c>
      <c r="CW13" s="73" t="e">
        <f t="shared" si="4"/>
        <v>#REF!</v>
      </c>
      <c r="CX13" s="73" t="e">
        <f t="shared" si="4"/>
        <v>#REF!</v>
      </c>
      <c r="CY13" s="73" t="e">
        <f t="shared" si="4"/>
        <v>#REF!</v>
      </c>
      <c r="CZ13" s="73" t="e">
        <f t="shared" si="4"/>
        <v>#REF!</v>
      </c>
      <c r="DA13" s="73" t="e">
        <f t="shared" si="4"/>
        <v>#REF!</v>
      </c>
      <c r="DB13" s="73" t="e">
        <f t="shared" si="4"/>
        <v>#REF!</v>
      </c>
      <c r="DC13" s="73" t="e">
        <f t="shared" si="4"/>
        <v>#REF!</v>
      </c>
      <c r="DD13" s="73" t="e">
        <f t="shared" si="4"/>
        <v>#REF!</v>
      </c>
      <c r="DE13" s="73" t="e">
        <f t="shared" si="4"/>
        <v>#REF!</v>
      </c>
      <c r="DF13" s="73" t="e">
        <f t="shared" si="4"/>
        <v>#REF!</v>
      </c>
      <c r="DG13" s="73" t="e">
        <f t="shared" si="4"/>
        <v>#REF!</v>
      </c>
      <c r="DH13" s="73" t="e">
        <f t="shared" si="4"/>
        <v>#REF!</v>
      </c>
      <c r="DI13" s="73" t="e">
        <f t="shared" si="4"/>
        <v>#REF!</v>
      </c>
      <c r="DJ13" s="73" t="e">
        <f t="shared" si="4"/>
        <v>#REF!</v>
      </c>
      <c r="DK13" s="73" t="e">
        <f t="shared" si="4"/>
        <v>#REF!</v>
      </c>
      <c r="DL13" s="73" t="e">
        <f t="shared" si="4"/>
        <v>#REF!</v>
      </c>
      <c r="DM13" s="73" t="e">
        <f t="shared" si="4"/>
        <v>#REF!</v>
      </c>
      <c r="DN13" s="73" t="e">
        <f t="shared" si="4"/>
        <v>#REF!</v>
      </c>
      <c r="DO13" s="73" t="e">
        <f t="shared" si="4"/>
        <v>#REF!</v>
      </c>
      <c r="DP13" s="73" t="e">
        <f t="shared" si="4"/>
        <v>#REF!</v>
      </c>
      <c r="DQ13" s="73" t="e">
        <f t="shared" si="4"/>
        <v>#REF!</v>
      </c>
      <c r="DR13" s="73" t="e">
        <f t="shared" si="4"/>
        <v>#REF!</v>
      </c>
      <c r="DS13" s="73" t="e">
        <f t="shared" si="4"/>
        <v>#REF!</v>
      </c>
      <c r="DT13" s="73" t="e">
        <f t="shared" si="4"/>
        <v>#REF!</v>
      </c>
      <c r="DU13" s="73" t="e">
        <f t="shared" si="4"/>
        <v>#REF!</v>
      </c>
      <c r="DV13" s="73" t="e">
        <f t="shared" si="4"/>
        <v>#REF!</v>
      </c>
      <c r="DW13" s="73" t="e">
        <f t="shared" si="4"/>
        <v>#REF!</v>
      </c>
      <c r="DX13" s="73" t="e">
        <f t="shared" si="4"/>
        <v>#REF!</v>
      </c>
      <c r="DY13" s="73" t="e">
        <f t="shared" si="4"/>
        <v>#REF!</v>
      </c>
      <c r="DZ13" s="73" t="e">
        <f aca="true" t="shared" si="5" ref="DZ13:GK13">SUM(DZ14+DZ20+DZ21)</f>
        <v>#REF!</v>
      </c>
      <c r="EA13" s="73" t="e">
        <f t="shared" si="5"/>
        <v>#REF!</v>
      </c>
      <c r="EB13" s="73" t="e">
        <f t="shared" si="5"/>
        <v>#REF!</v>
      </c>
      <c r="EC13" s="73" t="e">
        <f t="shared" si="5"/>
        <v>#REF!</v>
      </c>
      <c r="ED13" s="73" t="e">
        <f t="shared" si="5"/>
        <v>#REF!</v>
      </c>
      <c r="EE13" s="73" t="e">
        <f t="shared" si="5"/>
        <v>#REF!</v>
      </c>
      <c r="EF13" s="73" t="e">
        <f t="shared" si="5"/>
        <v>#REF!</v>
      </c>
      <c r="EG13" s="73" t="e">
        <f t="shared" si="5"/>
        <v>#REF!</v>
      </c>
      <c r="EH13" s="73" t="e">
        <f t="shared" si="5"/>
        <v>#REF!</v>
      </c>
      <c r="EI13" s="73" t="e">
        <f t="shared" si="5"/>
        <v>#REF!</v>
      </c>
      <c r="EJ13" s="73" t="e">
        <f t="shared" si="5"/>
        <v>#REF!</v>
      </c>
      <c r="EK13" s="73" t="e">
        <f t="shared" si="5"/>
        <v>#REF!</v>
      </c>
      <c r="EL13" s="73" t="e">
        <f t="shared" si="5"/>
        <v>#REF!</v>
      </c>
      <c r="EM13" s="73" t="e">
        <f t="shared" si="5"/>
        <v>#REF!</v>
      </c>
      <c r="EN13" s="73" t="e">
        <f t="shared" si="5"/>
        <v>#REF!</v>
      </c>
      <c r="EO13" s="73" t="e">
        <f t="shared" si="5"/>
        <v>#REF!</v>
      </c>
      <c r="EP13" s="73" t="e">
        <f t="shared" si="5"/>
        <v>#REF!</v>
      </c>
      <c r="EQ13" s="73" t="e">
        <f t="shared" si="5"/>
        <v>#REF!</v>
      </c>
      <c r="ER13" s="73" t="e">
        <f t="shared" si="5"/>
        <v>#REF!</v>
      </c>
      <c r="ES13" s="73" t="e">
        <f t="shared" si="5"/>
        <v>#REF!</v>
      </c>
      <c r="ET13" s="73" t="e">
        <f t="shared" si="5"/>
        <v>#REF!</v>
      </c>
      <c r="EU13" s="73" t="e">
        <f t="shared" si="5"/>
        <v>#REF!</v>
      </c>
      <c r="EV13" s="73" t="e">
        <f t="shared" si="5"/>
        <v>#REF!</v>
      </c>
      <c r="EW13" s="73" t="e">
        <f t="shared" si="5"/>
        <v>#REF!</v>
      </c>
      <c r="EX13" s="73" t="e">
        <f t="shared" si="5"/>
        <v>#REF!</v>
      </c>
      <c r="EY13" s="73" t="e">
        <f t="shared" si="5"/>
        <v>#REF!</v>
      </c>
      <c r="EZ13" s="73" t="e">
        <f t="shared" si="5"/>
        <v>#REF!</v>
      </c>
      <c r="FA13" s="73" t="e">
        <f t="shared" si="5"/>
        <v>#REF!</v>
      </c>
      <c r="FB13" s="73" t="e">
        <f t="shared" si="5"/>
        <v>#REF!</v>
      </c>
      <c r="FC13" s="73" t="e">
        <f t="shared" si="5"/>
        <v>#REF!</v>
      </c>
      <c r="FD13" s="73" t="e">
        <f t="shared" si="5"/>
        <v>#REF!</v>
      </c>
      <c r="FE13" s="73" t="e">
        <f t="shared" si="5"/>
        <v>#REF!</v>
      </c>
      <c r="FF13" s="73" t="e">
        <f t="shared" si="5"/>
        <v>#REF!</v>
      </c>
      <c r="FG13" s="73" t="e">
        <f t="shared" si="5"/>
        <v>#REF!</v>
      </c>
      <c r="FH13" s="73" t="e">
        <f t="shared" si="5"/>
        <v>#REF!</v>
      </c>
      <c r="FI13" s="73" t="e">
        <f t="shared" si="5"/>
        <v>#REF!</v>
      </c>
      <c r="FJ13" s="73" t="e">
        <f t="shared" si="5"/>
        <v>#REF!</v>
      </c>
      <c r="FK13" s="73" t="e">
        <f t="shared" si="5"/>
        <v>#REF!</v>
      </c>
      <c r="FL13" s="73" t="e">
        <f t="shared" si="5"/>
        <v>#REF!</v>
      </c>
      <c r="FM13" s="73" t="e">
        <f t="shared" si="5"/>
        <v>#REF!</v>
      </c>
      <c r="FN13" s="73" t="e">
        <f t="shared" si="5"/>
        <v>#REF!</v>
      </c>
      <c r="FO13" s="73" t="e">
        <f t="shared" si="5"/>
        <v>#REF!</v>
      </c>
      <c r="FP13" s="73" t="e">
        <f t="shared" si="5"/>
        <v>#REF!</v>
      </c>
      <c r="FQ13" s="73" t="e">
        <f t="shared" si="5"/>
        <v>#REF!</v>
      </c>
      <c r="FR13" s="73" t="e">
        <f t="shared" si="5"/>
        <v>#REF!</v>
      </c>
      <c r="FS13" s="73" t="e">
        <f t="shared" si="5"/>
        <v>#REF!</v>
      </c>
      <c r="FT13" s="73" t="e">
        <f t="shared" si="5"/>
        <v>#REF!</v>
      </c>
      <c r="FU13" s="73" t="e">
        <f t="shared" si="5"/>
        <v>#REF!</v>
      </c>
      <c r="FV13" s="73" t="e">
        <f t="shared" si="5"/>
        <v>#REF!</v>
      </c>
      <c r="FW13" s="73" t="e">
        <f t="shared" si="5"/>
        <v>#REF!</v>
      </c>
      <c r="FX13" s="73" t="e">
        <f t="shared" si="5"/>
        <v>#REF!</v>
      </c>
      <c r="FY13" s="73" t="e">
        <f t="shared" si="5"/>
        <v>#REF!</v>
      </c>
      <c r="FZ13" s="73" t="e">
        <f t="shared" si="5"/>
        <v>#REF!</v>
      </c>
      <c r="GA13" s="73" t="e">
        <f t="shared" si="5"/>
        <v>#REF!</v>
      </c>
      <c r="GB13" s="73" t="e">
        <f t="shared" si="5"/>
        <v>#REF!</v>
      </c>
      <c r="GC13" s="73" t="e">
        <f t="shared" si="5"/>
        <v>#REF!</v>
      </c>
      <c r="GD13" s="73" t="e">
        <f t="shared" si="5"/>
        <v>#REF!</v>
      </c>
      <c r="GE13" s="73" t="e">
        <f t="shared" si="5"/>
        <v>#REF!</v>
      </c>
      <c r="GF13" s="73" t="e">
        <f t="shared" si="5"/>
        <v>#REF!</v>
      </c>
      <c r="GG13" s="73" t="e">
        <f t="shared" si="5"/>
        <v>#REF!</v>
      </c>
      <c r="GH13" s="73" t="e">
        <f t="shared" si="5"/>
        <v>#REF!</v>
      </c>
      <c r="GI13" s="73" t="e">
        <f t="shared" si="5"/>
        <v>#REF!</v>
      </c>
      <c r="GJ13" s="73" t="e">
        <f t="shared" si="5"/>
        <v>#REF!</v>
      </c>
      <c r="GK13" s="73" t="e">
        <f t="shared" si="5"/>
        <v>#REF!</v>
      </c>
      <c r="GL13" s="73" t="e">
        <f aca="true" t="shared" si="6" ref="GL13:IV13">SUM(GL14+GL20+GL21)</f>
        <v>#REF!</v>
      </c>
      <c r="GM13" s="73" t="e">
        <f t="shared" si="6"/>
        <v>#REF!</v>
      </c>
      <c r="GN13" s="73" t="e">
        <f t="shared" si="6"/>
        <v>#REF!</v>
      </c>
      <c r="GO13" s="73" t="e">
        <f t="shared" si="6"/>
        <v>#REF!</v>
      </c>
      <c r="GP13" s="73" t="e">
        <f t="shared" si="6"/>
        <v>#REF!</v>
      </c>
      <c r="GQ13" s="73" t="e">
        <f t="shared" si="6"/>
        <v>#REF!</v>
      </c>
      <c r="GR13" s="73" t="e">
        <f t="shared" si="6"/>
        <v>#REF!</v>
      </c>
      <c r="GS13" s="73" t="e">
        <f t="shared" si="6"/>
        <v>#REF!</v>
      </c>
      <c r="GT13" s="73" t="e">
        <f t="shared" si="6"/>
        <v>#REF!</v>
      </c>
      <c r="GU13" s="73" t="e">
        <f t="shared" si="6"/>
        <v>#REF!</v>
      </c>
      <c r="GV13" s="73" t="e">
        <f t="shared" si="6"/>
        <v>#REF!</v>
      </c>
      <c r="GW13" s="73" t="e">
        <f t="shared" si="6"/>
        <v>#REF!</v>
      </c>
      <c r="GX13" s="73" t="e">
        <f t="shared" si="6"/>
        <v>#REF!</v>
      </c>
      <c r="GY13" s="73" t="e">
        <f t="shared" si="6"/>
        <v>#REF!</v>
      </c>
      <c r="GZ13" s="73" t="e">
        <f t="shared" si="6"/>
        <v>#REF!</v>
      </c>
      <c r="HA13" s="73" t="e">
        <f t="shared" si="6"/>
        <v>#REF!</v>
      </c>
      <c r="HB13" s="73" t="e">
        <f t="shared" si="6"/>
        <v>#REF!</v>
      </c>
      <c r="HC13" s="73" t="e">
        <f t="shared" si="6"/>
        <v>#REF!</v>
      </c>
      <c r="HD13" s="73" t="e">
        <f t="shared" si="6"/>
        <v>#REF!</v>
      </c>
      <c r="HE13" s="73" t="e">
        <f t="shared" si="6"/>
        <v>#REF!</v>
      </c>
      <c r="HF13" s="73" t="e">
        <f t="shared" si="6"/>
        <v>#REF!</v>
      </c>
      <c r="HG13" s="73" t="e">
        <f t="shared" si="6"/>
        <v>#REF!</v>
      </c>
      <c r="HH13" s="73" t="e">
        <f t="shared" si="6"/>
        <v>#REF!</v>
      </c>
      <c r="HI13" s="73" t="e">
        <f t="shared" si="6"/>
        <v>#REF!</v>
      </c>
      <c r="HJ13" s="73" t="e">
        <f t="shared" si="6"/>
        <v>#REF!</v>
      </c>
      <c r="HK13" s="73" t="e">
        <f t="shared" si="6"/>
        <v>#REF!</v>
      </c>
      <c r="HL13" s="73" t="e">
        <f t="shared" si="6"/>
        <v>#REF!</v>
      </c>
      <c r="HM13" s="73" t="e">
        <f t="shared" si="6"/>
        <v>#REF!</v>
      </c>
      <c r="HN13" s="73" t="e">
        <f t="shared" si="6"/>
        <v>#REF!</v>
      </c>
      <c r="HO13" s="73" t="e">
        <f t="shared" si="6"/>
        <v>#REF!</v>
      </c>
      <c r="HP13" s="73" t="e">
        <f t="shared" si="6"/>
        <v>#REF!</v>
      </c>
      <c r="HQ13" s="73" t="e">
        <f t="shared" si="6"/>
        <v>#REF!</v>
      </c>
      <c r="HR13" s="73" t="e">
        <f t="shared" si="6"/>
        <v>#REF!</v>
      </c>
      <c r="HS13" s="73" t="e">
        <f t="shared" si="6"/>
        <v>#REF!</v>
      </c>
      <c r="HT13" s="73" t="e">
        <f t="shared" si="6"/>
        <v>#REF!</v>
      </c>
      <c r="HU13" s="73" t="e">
        <f t="shared" si="6"/>
        <v>#REF!</v>
      </c>
      <c r="HV13" s="73" t="e">
        <f t="shared" si="6"/>
        <v>#REF!</v>
      </c>
      <c r="HW13" s="73" t="e">
        <f t="shared" si="6"/>
        <v>#REF!</v>
      </c>
      <c r="HX13" s="73" t="e">
        <f t="shared" si="6"/>
        <v>#REF!</v>
      </c>
      <c r="HY13" s="73" t="e">
        <f t="shared" si="6"/>
        <v>#REF!</v>
      </c>
      <c r="HZ13" s="73" t="e">
        <f t="shared" si="6"/>
        <v>#REF!</v>
      </c>
      <c r="IA13" s="73" t="e">
        <f t="shared" si="6"/>
        <v>#REF!</v>
      </c>
      <c r="IB13" s="73" t="e">
        <f t="shared" si="6"/>
        <v>#REF!</v>
      </c>
      <c r="IC13" s="73" t="e">
        <f t="shared" si="6"/>
        <v>#REF!</v>
      </c>
      <c r="ID13" s="73" t="e">
        <f t="shared" si="6"/>
        <v>#REF!</v>
      </c>
      <c r="IE13" s="73" t="e">
        <f t="shared" si="6"/>
        <v>#REF!</v>
      </c>
      <c r="IF13" s="73" t="e">
        <f t="shared" si="6"/>
        <v>#REF!</v>
      </c>
      <c r="IG13" s="73" t="e">
        <f t="shared" si="6"/>
        <v>#REF!</v>
      </c>
      <c r="IH13" s="73" t="e">
        <f t="shared" si="6"/>
        <v>#REF!</v>
      </c>
      <c r="II13" s="73" t="e">
        <f t="shared" si="6"/>
        <v>#REF!</v>
      </c>
      <c r="IJ13" s="73" t="e">
        <f t="shared" si="6"/>
        <v>#REF!</v>
      </c>
      <c r="IK13" s="73" t="e">
        <f t="shared" si="6"/>
        <v>#REF!</v>
      </c>
      <c r="IL13" s="73" t="e">
        <f t="shared" si="6"/>
        <v>#REF!</v>
      </c>
      <c r="IM13" s="73" t="e">
        <f t="shared" si="6"/>
        <v>#REF!</v>
      </c>
      <c r="IN13" s="73" t="e">
        <f t="shared" si="6"/>
        <v>#REF!</v>
      </c>
      <c r="IO13" s="73" t="e">
        <f t="shared" si="6"/>
        <v>#REF!</v>
      </c>
      <c r="IP13" s="73" t="e">
        <f t="shared" si="6"/>
        <v>#REF!</v>
      </c>
      <c r="IQ13" s="73" t="e">
        <f t="shared" si="6"/>
        <v>#REF!</v>
      </c>
      <c r="IR13" s="73" t="e">
        <f t="shared" si="6"/>
        <v>#REF!</v>
      </c>
      <c r="IS13" s="73" t="e">
        <f t="shared" si="6"/>
        <v>#REF!</v>
      </c>
      <c r="IT13" s="73" t="e">
        <f t="shared" si="6"/>
        <v>#REF!</v>
      </c>
      <c r="IU13" s="107" t="e">
        <f t="shared" si="6"/>
        <v>#REF!</v>
      </c>
      <c r="IV13" s="107" t="e">
        <f t="shared" si="6"/>
        <v>#REF!</v>
      </c>
    </row>
    <row r="14" spans="1:256" ht="15">
      <c r="A14" s="56" t="s">
        <v>137</v>
      </c>
      <c r="B14" s="73">
        <f>SUM(B15:B19)</f>
        <v>2149903579.08</v>
      </c>
      <c r="C14" s="73">
        <v>0</v>
      </c>
      <c r="D14" s="73">
        <f>SUM(D15:D19)</f>
        <v>15639291.4</v>
      </c>
      <c r="E14" s="73">
        <v>0</v>
      </c>
      <c r="F14" s="73">
        <f>SUM(F15:F19)</f>
        <v>2134264287.68</v>
      </c>
      <c r="G14" s="73">
        <f>SUM(G15:G19)</f>
        <v>64729880.01914585</v>
      </c>
      <c r="H14" s="73">
        <v>0</v>
      </c>
      <c r="I14" s="73" t="e">
        <f>SUM(#REF!)</f>
        <v>#REF!</v>
      </c>
      <c r="J14" s="73" t="e">
        <f>SUM(#REF!)</f>
        <v>#REF!</v>
      </c>
      <c r="K14" s="73" t="e">
        <f>SUM(#REF!)</f>
        <v>#REF!</v>
      </c>
      <c r="L14" s="73" t="e">
        <f>SUM(#REF!)</f>
        <v>#REF!</v>
      </c>
      <c r="M14" s="73" t="e">
        <f>SUM(#REF!)</f>
        <v>#REF!</v>
      </c>
      <c r="N14" s="73" t="e">
        <f>SUM(#REF!)</f>
        <v>#REF!</v>
      </c>
      <c r="O14" s="73" t="e">
        <f>SUM(#REF!)</f>
        <v>#REF!</v>
      </c>
      <c r="P14" s="73" t="e">
        <f>SUM(#REF!)</f>
        <v>#REF!</v>
      </c>
      <c r="Q14" s="73" t="e">
        <f>SUM(#REF!)</f>
        <v>#REF!</v>
      </c>
      <c r="R14" s="73" t="e">
        <f>SUM(#REF!)</f>
        <v>#REF!</v>
      </c>
      <c r="S14" s="73" t="e">
        <f>SUM(#REF!)</f>
        <v>#REF!</v>
      </c>
      <c r="T14" s="73" t="e">
        <f>SUM(#REF!)</f>
        <v>#REF!</v>
      </c>
      <c r="U14" s="73" t="e">
        <f>SUM(#REF!)</f>
        <v>#REF!</v>
      </c>
      <c r="V14" s="73" t="e">
        <f>SUM(#REF!)</f>
        <v>#REF!</v>
      </c>
      <c r="W14" s="73" t="e">
        <f>SUM(#REF!)</f>
        <v>#REF!</v>
      </c>
      <c r="X14" s="73" t="e">
        <f>SUM(#REF!)</f>
        <v>#REF!</v>
      </c>
      <c r="Y14" s="73" t="e">
        <f>SUM(#REF!)</f>
        <v>#REF!</v>
      </c>
      <c r="Z14" s="73" t="e">
        <f>SUM(#REF!)</f>
        <v>#REF!</v>
      </c>
      <c r="AA14" s="73" t="e">
        <f>SUM(#REF!)</f>
        <v>#REF!</v>
      </c>
      <c r="AB14" s="73" t="e">
        <f>SUM(#REF!)</f>
        <v>#REF!</v>
      </c>
      <c r="AC14" s="73" t="e">
        <f>SUM(#REF!)</f>
        <v>#REF!</v>
      </c>
      <c r="AD14" s="73" t="e">
        <f>SUM(#REF!)</f>
        <v>#REF!</v>
      </c>
      <c r="AE14" s="73" t="e">
        <f>SUM(#REF!)</f>
        <v>#REF!</v>
      </c>
      <c r="AF14" s="73" t="e">
        <f>SUM(#REF!)</f>
        <v>#REF!</v>
      </c>
      <c r="AG14" s="73" t="e">
        <f>SUM(#REF!)</f>
        <v>#REF!</v>
      </c>
      <c r="AH14" s="73" t="e">
        <f>SUM(#REF!)</f>
        <v>#REF!</v>
      </c>
      <c r="AI14" s="73" t="e">
        <f>SUM(#REF!)</f>
        <v>#REF!</v>
      </c>
      <c r="AJ14" s="73" t="e">
        <f>SUM(#REF!)</f>
        <v>#REF!</v>
      </c>
      <c r="AK14" s="73" t="e">
        <f>SUM(#REF!)</f>
        <v>#REF!</v>
      </c>
      <c r="AL14" s="73" t="e">
        <f>SUM(#REF!)</f>
        <v>#REF!</v>
      </c>
      <c r="AM14" s="73" t="e">
        <f>SUM(#REF!)</f>
        <v>#REF!</v>
      </c>
      <c r="AN14" s="73" t="e">
        <f>SUM(#REF!)</f>
        <v>#REF!</v>
      </c>
      <c r="AO14" s="73" t="e">
        <f>SUM(#REF!)</f>
        <v>#REF!</v>
      </c>
      <c r="AP14" s="73" t="e">
        <f>SUM(#REF!)</f>
        <v>#REF!</v>
      </c>
      <c r="AQ14" s="73" t="e">
        <f>SUM(#REF!)</f>
        <v>#REF!</v>
      </c>
      <c r="AR14" s="73" t="e">
        <f>SUM(#REF!)</f>
        <v>#REF!</v>
      </c>
      <c r="AS14" s="73" t="e">
        <f>SUM(#REF!)</f>
        <v>#REF!</v>
      </c>
      <c r="AT14" s="73" t="e">
        <f>SUM(#REF!)</f>
        <v>#REF!</v>
      </c>
      <c r="AU14" s="73" t="e">
        <f>SUM(#REF!)</f>
        <v>#REF!</v>
      </c>
      <c r="AV14" s="73" t="e">
        <f>SUM(#REF!)</f>
        <v>#REF!</v>
      </c>
      <c r="AW14" s="73" t="e">
        <f>SUM(#REF!)</f>
        <v>#REF!</v>
      </c>
      <c r="AX14" s="73" t="e">
        <f>SUM(#REF!)</f>
        <v>#REF!</v>
      </c>
      <c r="AY14" s="73" t="e">
        <f>SUM(#REF!)</f>
        <v>#REF!</v>
      </c>
      <c r="AZ14" s="73" t="e">
        <f>SUM(#REF!)</f>
        <v>#REF!</v>
      </c>
      <c r="BA14" s="73" t="e">
        <f>SUM(#REF!)</f>
        <v>#REF!</v>
      </c>
      <c r="BB14" s="73" t="e">
        <f>SUM(#REF!)</f>
        <v>#REF!</v>
      </c>
      <c r="BC14" s="73" t="e">
        <f>SUM(#REF!)</f>
        <v>#REF!</v>
      </c>
      <c r="BD14" s="73" t="e">
        <f>SUM(#REF!)</f>
        <v>#REF!</v>
      </c>
      <c r="BE14" s="73" t="e">
        <f>SUM(#REF!)</f>
        <v>#REF!</v>
      </c>
      <c r="BF14" s="73" t="e">
        <f>SUM(#REF!)</f>
        <v>#REF!</v>
      </c>
      <c r="BG14" s="73" t="e">
        <f>SUM(#REF!)</f>
        <v>#REF!</v>
      </c>
      <c r="BH14" s="73" t="e">
        <f>SUM(#REF!)</f>
        <v>#REF!</v>
      </c>
      <c r="BI14" s="73" t="e">
        <f>SUM(#REF!)</f>
        <v>#REF!</v>
      </c>
      <c r="BJ14" s="73" t="e">
        <f>SUM(#REF!)</f>
        <v>#REF!</v>
      </c>
      <c r="BK14" s="73" t="e">
        <f>SUM(#REF!)</f>
        <v>#REF!</v>
      </c>
      <c r="BL14" s="73" t="e">
        <f>SUM(#REF!)</f>
        <v>#REF!</v>
      </c>
      <c r="BM14" s="73" t="e">
        <f>SUM(#REF!)</f>
        <v>#REF!</v>
      </c>
      <c r="BN14" s="73" t="e">
        <f>SUM(#REF!)</f>
        <v>#REF!</v>
      </c>
      <c r="BO14" s="73" t="e">
        <f>SUM(#REF!)</f>
        <v>#REF!</v>
      </c>
      <c r="BP14" s="73" t="e">
        <f>SUM(#REF!)</f>
        <v>#REF!</v>
      </c>
      <c r="BQ14" s="73" t="e">
        <f>SUM(#REF!)</f>
        <v>#REF!</v>
      </c>
      <c r="BR14" s="73" t="e">
        <f>SUM(#REF!)</f>
        <v>#REF!</v>
      </c>
      <c r="BS14" s="73" t="e">
        <f>SUM(#REF!)</f>
        <v>#REF!</v>
      </c>
      <c r="BT14" s="73" t="e">
        <f>SUM(#REF!)</f>
        <v>#REF!</v>
      </c>
      <c r="BU14" s="73" t="e">
        <f>SUM(#REF!)</f>
        <v>#REF!</v>
      </c>
      <c r="BV14" s="73" t="e">
        <f>SUM(#REF!)</f>
        <v>#REF!</v>
      </c>
      <c r="BW14" s="73" t="e">
        <f>SUM(#REF!)</f>
        <v>#REF!</v>
      </c>
      <c r="BX14" s="73" t="e">
        <f>SUM(#REF!)</f>
        <v>#REF!</v>
      </c>
      <c r="BY14" s="73" t="e">
        <f>SUM(#REF!)</f>
        <v>#REF!</v>
      </c>
      <c r="BZ14" s="73" t="e">
        <f>SUM(#REF!)</f>
        <v>#REF!</v>
      </c>
      <c r="CA14" s="73" t="e">
        <f>SUM(#REF!)</f>
        <v>#REF!</v>
      </c>
      <c r="CB14" s="73" t="e">
        <f>SUM(#REF!)</f>
        <v>#REF!</v>
      </c>
      <c r="CC14" s="73" t="e">
        <f>SUM(#REF!)</f>
        <v>#REF!</v>
      </c>
      <c r="CD14" s="73" t="e">
        <f>SUM(#REF!)</f>
        <v>#REF!</v>
      </c>
      <c r="CE14" s="73" t="e">
        <f>SUM(#REF!)</f>
        <v>#REF!</v>
      </c>
      <c r="CF14" s="73" t="e">
        <f>SUM(#REF!)</f>
        <v>#REF!</v>
      </c>
      <c r="CG14" s="73" t="e">
        <f>SUM(#REF!)</f>
        <v>#REF!</v>
      </c>
      <c r="CH14" s="73" t="e">
        <f>SUM(#REF!)</f>
        <v>#REF!</v>
      </c>
      <c r="CI14" s="73" t="e">
        <f>SUM(#REF!)</f>
        <v>#REF!</v>
      </c>
      <c r="CJ14" s="73" t="e">
        <f>SUM(#REF!)</f>
        <v>#REF!</v>
      </c>
      <c r="CK14" s="73" t="e">
        <f>SUM(#REF!)</f>
        <v>#REF!</v>
      </c>
      <c r="CL14" s="73" t="e">
        <f>SUM(#REF!)</f>
        <v>#REF!</v>
      </c>
      <c r="CM14" s="73" t="e">
        <f>SUM(#REF!)</f>
        <v>#REF!</v>
      </c>
      <c r="CN14" s="73" t="e">
        <f>SUM(#REF!)</f>
        <v>#REF!</v>
      </c>
      <c r="CO14" s="73" t="e">
        <f>SUM(#REF!)</f>
        <v>#REF!</v>
      </c>
      <c r="CP14" s="73" t="e">
        <f>SUM(#REF!)</f>
        <v>#REF!</v>
      </c>
      <c r="CQ14" s="73" t="e">
        <f>SUM(#REF!)</f>
        <v>#REF!</v>
      </c>
      <c r="CR14" s="73" t="e">
        <f>SUM(#REF!)</f>
        <v>#REF!</v>
      </c>
      <c r="CS14" s="73" t="e">
        <f>SUM(#REF!)</f>
        <v>#REF!</v>
      </c>
      <c r="CT14" s="73" t="e">
        <f>SUM(#REF!)</f>
        <v>#REF!</v>
      </c>
      <c r="CU14" s="73" t="e">
        <f>SUM(#REF!)</f>
        <v>#REF!</v>
      </c>
      <c r="CV14" s="73" t="e">
        <f>SUM(#REF!)</f>
        <v>#REF!</v>
      </c>
      <c r="CW14" s="73" t="e">
        <f>SUM(#REF!)</f>
        <v>#REF!</v>
      </c>
      <c r="CX14" s="73" t="e">
        <f>SUM(#REF!)</f>
        <v>#REF!</v>
      </c>
      <c r="CY14" s="73" t="e">
        <f>SUM(#REF!)</f>
        <v>#REF!</v>
      </c>
      <c r="CZ14" s="73" t="e">
        <f>SUM(#REF!)</f>
        <v>#REF!</v>
      </c>
      <c r="DA14" s="73" t="e">
        <f>SUM(#REF!)</f>
        <v>#REF!</v>
      </c>
      <c r="DB14" s="73" t="e">
        <f>SUM(#REF!)</f>
        <v>#REF!</v>
      </c>
      <c r="DC14" s="73" t="e">
        <f>SUM(#REF!)</f>
        <v>#REF!</v>
      </c>
      <c r="DD14" s="73" t="e">
        <f>SUM(#REF!)</f>
        <v>#REF!</v>
      </c>
      <c r="DE14" s="73" t="e">
        <f>SUM(#REF!)</f>
        <v>#REF!</v>
      </c>
      <c r="DF14" s="73" t="e">
        <f>SUM(#REF!)</f>
        <v>#REF!</v>
      </c>
      <c r="DG14" s="73" t="e">
        <f>SUM(#REF!)</f>
        <v>#REF!</v>
      </c>
      <c r="DH14" s="73" t="e">
        <f>SUM(#REF!)</f>
        <v>#REF!</v>
      </c>
      <c r="DI14" s="73" t="e">
        <f>SUM(#REF!)</f>
        <v>#REF!</v>
      </c>
      <c r="DJ14" s="73" t="e">
        <f>SUM(#REF!)</f>
        <v>#REF!</v>
      </c>
      <c r="DK14" s="73" t="e">
        <f>SUM(#REF!)</f>
        <v>#REF!</v>
      </c>
      <c r="DL14" s="73" t="e">
        <f>SUM(#REF!)</f>
        <v>#REF!</v>
      </c>
      <c r="DM14" s="73" t="e">
        <f>SUM(#REF!)</f>
        <v>#REF!</v>
      </c>
      <c r="DN14" s="73" t="e">
        <f>SUM(#REF!)</f>
        <v>#REF!</v>
      </c>
      <c r="DO14" s="73" t="e">
        <f>SUM(#REF!)</f>
        <v>#REF!</v>
      </c>
      <c r="DP14" s="73" t="e">
        <f>SUM(#REF!)</f>
        <v>#REF!</v>
      </c>
      <c r="DQ14" s="73" t="e">
        <f>SUM(#REF!)</f>
        <v>#REF!</v>
      </c>
      <c r="DR14" s="73" t="e">
        <f>SUM(#REF!)</f>
        <v>#REF!</v>
      </c>
      <c r="DS14" s="73" t="e">
        <f>SUM(#REF!)</f>
        <v>#REF!</v>
      </c>
      <c r="DT14" s="73" t="e">
        <f>SUM(#REF!)</f>
        <v>#REF!</v>
      </c>
      <c r="DU14" s="73" t="e">
        <f>SUM(#REF!)</f>
        <v>#REF!</v>
      </c>
      <c r="DV14" s="73" t="e">
        <f>SUM(#REF!)</f>
        <v>#REF!</v>
      </c>
      <c r="DW14" s="73" t="e">
        <f>SUM(#REF!)</f>
        <v>#REF!</v>
      </c>
      <c r="DX14" s="73" t="e">
        <f>SUM(#REF!)</f>
        <v>#REF!</v>
      </c>
      <c r="DY14" s="73" t="e">
        <f>SUM(#REF!)</f>
        <v>#REF!</v>
      </c>
      <c r="DZ14" s="73" t="e">
        <f>SUM(#REF!)</f>
        <v>#REF!</v>
      </c>
      <c r="EA14" s="73" t="e">
        <f>SUM(#REF!)</f>
        <v>#REF!</v>
      </c>
      <c r="EB14" s="73" t="e">
        <f>SUM(#REF!)</f>
        <v>#REF!</v>
      </c>
      <c r="EC14" s="73" t="e">
        <f>SUM(#REF!)</f>
        <v>#REF!</v>
      </c>
      <c r="ED14" s="73" t="e">
        <f>SUM(#REF!)</f>
        <v>#REF!</v>
      </c>
      <c r="EE14" s="73" t="e">
        <f>SUM(#REF!)</f>
        <v>#REF!</v>
      </c>
      <c r="EF14" s="73" t="e">
        <f>SUM(#REF!)</f>
        <v>#REF!</v>
      </c>
      <c r="EG14" s="73" t="e">
        <f>SUM(#REF!)</f>
        <v>#REF!</v>
      </c>
      <c r="EH14" s="73" t="e">
        <f>SUM(#REF!)</f>
        <v>#REF!</v>
      </c>
      <c r="EI14" s="73" t="e">
        <f>SUM(#REF!)</f>
        <v>#REF!</v>
      </c>
      <c r="EJ14" s="73" t="e">
        <f>SUM(#REF!)</f>
        <v>#REF!</v>
      </c>
      <c r="EK14" s="73" t="e">
        <f>SUM(#REF!)</f>
        <v>#REF!</v>
      </c>
      <c r="EL14" s="73" t="e">
        <f>SUM(#REF!)</f>
        <v>#REF!</v>
      </c>
      <c r="EM14" s="73" t="e">
        <f>SUM(#REF!)</f>
        <v>#REF!</v>
      </c>
      <c r="EN14" s="73" t="e">
        <f>SUM(#REF!)</f>
        <v>#REF!</v>
      </c>
      <c r="EO14" s="73" t="e">
        <f>SUM(#REF!)</f>
        <v>#REF!</v>
      </c>
      <c r="EP14" s="73" t="e">
        <f>SUM(#REF!)</f>
        <v>#REF!</v>
      </c>
      <c r="EQ14" s="73" t="e">
        <f>SUM(#REF!)</f>
        <v>#REF!</v>
      </c>
      <c r="ER14" s="73" t="e">
        <f>SUM(#REF!)</f>
        <v>#REF!</v>
      </c>
      <c r="ES14" s="73" t="e">
        <f>SUM(#REF!)</f>
        <v>#REF!</v>
      </c>
      <c r="ET14" s="73" t="e">
        <f>SUM(#REF!)</f>
        <v>#REF!</v>
      </c>
      <c r="EU14" s="73" t="e">
        <f>SUM(#REF!)</f>
        <v>#REF!</v>
      </c>
      <c r="EV14" s="73" t="e">
        <f>SUM(#REF!)</f>
        <v>#REF!</v>
      </c>
      <c r="EW14" s="73" t="e">
        <f>SUM(#REF!)</f>
        <v>#REF!</v>
      </c>
      <c r="EX14" s="73" t="e">
        <f>SUM(#REF!)</f>
        <v>#REF!</v>
      </c>
      <c r="EY14" s="73" t="e">
        <f>SUM(#REF!)</f>
        <v>#REF!</v>
      </c>
      <c r="EZ14" s="73" t="e">
        <f>SUM(#REF!)</f>
        <v>#REF!</v>
      </c>
      <c r="FA14" s="73" t="e">
        <f>SUM(#REF!)</f>
        <v>#REF!</v>
      </c>
      <c r="FB14" s="73" t="e">
        <f>SUM(#REF!)</f>
        <v>#REF!</v>
      </c>
      <c r="FC14" s="73" t="e">
        <f>SUM(#REF!)</f>
        <v>#REF!</v>
      </c>
      <c r="FD14" s="73" t="e">
        <f>SUM(#REF!)</f>
        <v>#REF!</v>
      </c>
      <c r="FE14" s="73" t="e">
        <f>SUM(#REF!)</f>
        <v>#REF!</v>
      </c>
      <c r="FF14" s="73" t="e">
        <f>SUM(#REF!)</f>
        <v>#REF!</v>
      </c>
      <c r="FG14" s="73" t="e">
        <f>SUM(#REF!)</f>
        <v>#REF!</v>
      </c>
      <c r="FH14" s="73" t="e">
        <f>SUM(#REF!)</f>
        <v>#REF!</v>
      </c>
      <c r="FI14" s="73" t="e">
        <f>SUM(#REF!)</f>
        <v>#REF!</v>
      </c>
      <c r="FJ14" s="73" t="e">
        <f>SUM(#REF!)</f>
        <v>#REF!</v>
      </c>
      <c r="FK14" s="73" t="e">
        <f>SUM(#REF!)</f>
        <v>#REF!</v>
      </c>
      <c r="FL14" s="73" t="e">
        <f>SUM(#REF!)</f>
        <v>#REF!</v>
      </c>
      <c r="FM14" s="73" t="e">
        <f>SUM(#REF!)</f>
        <v>#REF!</v>
      </c>
      <c r="FN14" s="73" t="e">
        <f>SUM(#REF!)</f>
        <v>#REF!</v>
      </c>
      <c r="FO14" s="73" t="e">
        <f>SUM(#REF!)</f>
        <v>#REF!</v>
      </c>
      <c r="FP14" s="73" t="e">
        <f>SUM(#REF!)</f>
        <v>#REF!</v>
      </c>
      <c r="FQ14" s="73" t="e">
        <f>SUM(#REF!)</f>
        <v>#REF!</v>
      </c>
      <c r="FR14" s="73" t="e">
        <f>SUM(#REF!)</f>
        <v>#REF!</v>
      </c>
      <c r="FS14" s="73" t="e">
        <f>SUM(#REF!)</f>
        <v>#REF!</v>
      </c>
      <c r="FT14" s="73" t="e">
        <f>SUM(#REF!)</f>
        <v>#REF!</v>
      </c>
      <c r="FU14" s="73" t="e">
        <f>SUM(#REF!)</f>
        <v>#REF!</v>
      </c>
      <c r="FV14" s="73" t="e">
        <f>SUM(#REF!)</f>
        <v>#REF!</v>
      </c>
      <c r="FW14" s="73" t="e">
        <f>SUM(#REF!)</f>
        <v>#REF!</v>
      </c>
      <c r="FX14" s="73" t="e">
        <f>SUM(#REF!)</f>
        <v>#REF!</v>
      </c>
      <c r="FY14" s="73" t="e">
        <f>SUM(#REF!)</f>
        <v>#REF!</v>
      </c>
      <c r="FZ14" s="73" t="e">
        <f>SUM(#REF!)</f>
        <v>#REF!</v>
      </c>
      <c r="GA14" s="73" t="e">
        <f>SUM(#REF!)</f>
        <v>#REF!</v>
      </c>
      <c r="GB14" s="73" t="e">
        <f>SUM(#REF!)</f>
        <v>#REF!</v>
      </c>
      <c r="GC14" s="73" t="e">
        <f>SUM(#REF!)</f>
        <v>#REF!</v>
      </c>
      <c r="GD14" s="73" t="e">
        <f>SUM(#REF!)</f>
        <v>#REF!</v>
      </c>
      <c r="GE14" s="73" t="e">
        <f>SUM(#REF!)</f>
        <v>#REF!</v>
      </c>
      <c r="GF14" s="73" t="e">
        <f>SUM(#REF!)</f>
        <v>#REF!</v>
      </c>
      <c r="GG14" s="73" t="e">
        <f>SUM(#REF!)</f>
        <v>#REF!</v>
      </c>
      <c r="GH14" s="73" t="e">
        <f>SUM(#REF!)</f>
        <v>#REF!</v>
      </c>
      <c r="GI14" s="73" t="e">
        <f>SUM(#REF!)</f>
        <v>#REF!</v>
      </c>
      <c r="GJ14" s="73" t="e">
        <f>SUM(#REF!)</f>
        <v>#REF!</v>
      </c>
      <c r="GK14" s="73" t="e">
        <f>SUM(#REF!)</f>
        <v>#REF!</v>
      </c>
      <c r="GL14" s="73" t="e">
        <f>SUM(#REF!)</f>
        <v>#REF!</v>
      </c>
      <c r="GM14" s="73" t="e">
        <f>SUM(#REF!)</f>
        <v>#REF!</v>
      </c>
      <c r="GN14" s="73" t="e">
        <f>SUM(#REF!)</f>
        <v>#REF!</v>
      </c>
      <c r="GO14" s="73" t="e">
        <f>SUM(#REF!)</f>
        <v>#REF!</v>
      </c>
      <c r="GP14" s="73" t="e">
        <f>SUM(#REF!)</f>
        <v>#REF!</v>
      </c>
      <c r="GQ14" s="73" t="e">
        <f>SUM(#REF!)</f>
        <v>#REF!</v>
      </c>
      <c r="GR14" s="73" t="e">
        <f>SUM(#REF!)</f>
        <v>#REF!</v>
      </c>
      <c r="GS14" s="73" t="e">
        <f>SUM(#REF!)</f>
        <v>#REF!</v>
      </c>
      <c r="GT14" s="73" t="e">
        <f>SUM(#REF!)</f>
        <v>#REF!</v>
      </c>
      <c r="GU14" s="73" t="e">
        <f>SUM(#REF!)</f>
        <v>#REF!</v>
      </c>
      <c r="GV14" s="73" t="e">
        <f>SUM(#REF!)</f>
        <v>#REF!</v>
      </c>
      <c r="GW14" s="73" t="e">
        <f>SUM(#REF!)</f>
        <v>#REF!</v>
      </c>
      <c r="GX14" s="73" t="e">
        <f>SUM(#REF!)</f>
        <v>#REF!</v>
      </c>
      <c r="GY14" s="73" t="e">
        <f>SUM(#REF!)</f>
        <v>#REF!</v>
      </c>
      <c r="GZ14" s="73" t="e">
        <f>SUM(#REF!)</f>
        <v>#REF!</v>
      </c>
      <c r="HA14" s="73" t="e">
        <f>SUM(#REF!)</f>
        <v>#REF!</v>
      </c>
      <c r="HB14" s="73" t="e">
        <f>SUM(#REF!)</f>
        <v>#REF!</v>
      </c>
      <c r="HC14" s="73" t="e">
        <f>SUM(#REF!)</f>
        <v>#REF!</v>
      </c>
      <c r="HD14" s="73" t="e">
        <f>SUM(#REF!)</f>
        <v>#REF!</v>
      </c>
      <c r="HE14" s="73" t="e">
        <f>SUM(#REF!)</f>
        <v>#REF!</v>
      </c>
      <c r="HF14" s="73" t="e">
        <f>SUM(#REF!)</f>
        <v>#REF!</v>
      </c>
      <c r="HG14" s="73" t="e">
        <f>SUM(#REF!)</f>
        <v>#REF!</v>
      </c>
      <c r="HH14" s="73" t="e">
        <f>SUM(#REF!)</f>
        <v>#REF!</v>
      </c>
      <c r="HI14" s="73" t="e">
        <f>SUM(#REF!)</f>
        <v>#REF!</v>
      </c>
      <c r="HJ14" s="73" t="e">
        <f>SUM(#REF!)</f>
        <v>#REF!</v>
      </c>
      <c r="HK14" s="73" t="e">
        <f>SUM(#REF!)</f>
        <v>#REF!</v>
      </c>
      <c r="HL14" s="73" t="e">
        <f>SUM(#REF!)</f>
        <v>#REF!</v>
      </c>
      <c r="HM14" s="73" t="e">
        <f>SUM(#REF!)</f>
        <v>#REF!</v>
      </c>
      <c r="HN14" s="73" t="e">
        <f>SUM(#REF!)</f>
        <v>#REF!</v>
      </c>
      <c r="HO14" s="73" t="e">
        <f>SUM(#REF!)</f>
        <v>#REF!</v>
      </c>
      <c r="HP14" s="73" t="e">
        <f>SUM(#REF!)</f>
        <v>#REF!</v>
      </c>
      <c r="HQ14" s="73" t="e">
        <f>SUM(#REF!)</f>
        <v>#REF!</v>
      </c>
      <c r="HR14" s="73" t="e">
        <f>SUM(#REF!)</f>
        <v>#REF!</v>
      </c>
      <c r="HS14" s="73" t="e">
        <f>SUM(#REF!)</f>
        <v>#REF!</v>
      </c>
      <c r="HT14" s="73" t="e">
        <f>SUM(#REF!)</f>
        <v>#REF!</v>
      </c>
      <c r="HU14" s="73" t="e">
        <f>SUM(#REF!)</f>
        <v>#REF!</v>
      </c>
      <c r="HV14" s="73" t="e">
        <f>SUM(#REF!)</f>
        <v>#REF!</v>
      </c>
      <c r="HW14" s="73" t="e">
        <f>SUM(#REF!)</f>
        <v>#REF!</v>
      </c>
      <c r="HX14" s="73" t="e">
        <f>SUM(#REF!)</f>
        <v>#REF!</v>
      </c>
      <c r="HY14" s="73" t="e">
        <f>SUM(#REF!)</f>
        <v>#REF!</v>
      </c>
      <c r="HZ14" s="73" t="e">
        <f>SUM(#REF!)</f>
        <v>#REF!</v>
      </c>
      <c r="IA14" s="73" t="e">
        <f>SUM(#REF!)</f>
        <v>#REF!</v>
      </c>
      <c r="IB14" s="73" t="e">
        <f>SUM(#REF!)</f>
        <v>#REF!</v>
      </c>
      <c r="IC14" s="73" t="e">
        <f>SUM(#REF!)</f>
        <v>#REF!</v>
      </c>
      <c r="ID14" s="73" t="e">
        <f>SUM(#REF!)</f>
        <v>#REF!</v>
      </c>
      <c r="IE14" s="73" t="e">
        <f>SUM(#REF!)</f>
        <v>#REF!</v>
      </c>
      <c r="IF14" s="73" t="e">
        <f>SUM(#REF!)</f>
        <v>#REF!</v>
      </c>
      <c r="IG14" s="73" t="e">
        <f>SUM(#REF!)</f>
        <v>#REF!</v>
      </c>
      <c r="IH14" s="73" t="e">
        <f>SUM(#REF!)</f>
        <v>#REF!</v>
      </c>
      <c r="II14" s="73" t="e">
        <f>SUM(#REF!)</f>
        <v>#REF!</v>
      </c>
      <c r="IJ14" s="73" t="e">
        <f>SUM(#REF!)</f>
        <v>#REF!</v>
      </c>
      <c r="IK14" s="73" t="e">
        <f>SUM(#REF!)</f>
        <v>#REF!</v>
      </c>
      <c r="IL14" s="73" t="e">
        <f>SUM(#REF!)</f>
        <v>#REF!</v>
      </c>
      <c r="IM14" s="73" t="e">
        <f>SUM(#REF!)</f>
        <v>#REF!</v>
      </c>
      <c r="IN14" s="73" t="e">
        <f>SUM(#REF!)</f>
        <v>#REF!</v>
      </c>
      <c r="IO14" s="73" t="e">
        <f>SUM(#REF!)</f>
        <v>#REF!</v>
      </c>
      <c r="IP14" s="73" t="e">
        <f>SUM(#REF!)</f>
        <v>#REF!</v>
      </c>
      <c r="IQ14" s="73" t="e">
        <f>SUM(#REF!)</f>
        <v>#REF!</v>
      </c>
      <c r="IR14" s="73" t="e">
        <f>SUM(#REF!)</f>
        <v>#REF!</v>
      </c>
      <c r="IS14" s="73" t="e">
        <f>SUM(#REF!)</f>
        <v>#REF!</v>
      </c>
      <c r="IT14" s="73" t="e">
        <f>SUM(#REF!)</f>
        <v>#REF!</v>
      </c>
      <c r="IU14" s="107" t="e">
        <f>SUM(#REF!)</f>
        <v>#REF!</v>
      </c>
      <c r="IV14" s="107" t="e">
        <f>SUM(#REF!)</f>
        <v>#REF!</v>
      </c>
    </row>
    <row r="15" spans="1:256" ht="15">
      <c r="A15" s="56" t="s">
        <v>468</v>
      </c>
      <c r="B15" s="113">
        <v>431857277.0899998</v>
      </c>
      <c r="C15" s="113">
        <v>0</v>
      </c>
      <c r="D15" s="113">
        <v>4998163.699999999</v>
      </c>
      <c r="E15" s="113">
        <v>0</v>
      </c>
      <c r="F15" s="113">
        <v>426859113.3899999</v>
      </c>
      <c r="G15" s="113">
        <v>13114749.52</v>
      </c>
      <c r="H15" s="113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ht="15">
      <c r="A16" s="56" t="s">
        <v>468</v>
      </c>
      <c r="B16" s="113">
        <v>142629655.14999992</v>
      </c>
      <c r="C16" s="113">
        <v>0</v>
      </c>
      <c r="D16" s="113">
        <v>1534539.9000000001</v>
      </c>
      <c r="E16" s="113">
        <v>0</v>
      </c>
      <c r="F16" s="113">
        <v>141095115.2499999</v>
      </c>
      <c r="G16" s="113">
        <v>4339738.66</v>
      </c>
      <c r="H16" s="113">
        <v>0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256" ht="15">
      <c r="A17" s="56" t="s">
        <v>468</v>
      </c>
      <c r="B17" s="113">
        <v>89243837.95000005</v>
      </c>
      <c r="C17" s="113">
        <v>0</v>
      </c>
      <c r="D17" s="113">
        <v>960166.5900000001</v>
      </c>
      <c r="E17" s="113">
        <v>0</v>
      </c>
      <c r="F17" s="113">
        <v>88283671.36000004</v>
      </c>
      <c r="G17" s="113">
        <v>2715385.29</v>
      </c>
      <c r="H17" s="113">
        <v>0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spans="1:256" ht="15">
      <c r="A18" s="56" t="s">
        <v>469</v>
      </c>
      <c r="B18" s="113">
        <v>738420441.3600003</v>
      </c>
      <c r="C18" s="113">
        <v>0</v>
      </c>
      <c r="D18" s="113">
        <v>4167434.38</v>
      </c>
      <c r="E18" s="113">
        <v>0</v>
      </c>
      <c r="F18" s="113">
        <v>734253006.9800003</v>
      </c>
      <c r="G18" s="113">
        <v>22262840.03</v>
      </c>
      <c r="H18" s="113">
        <v>0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spans="1:256" ht="15">
      <c r="A19" s="56" t="s">
        <v>470</v>
      </c>
      <c r="B19" s="113">
        <v>747752367.53</v>
      </c>
      <c r="C19" s="113">
        <v>0</v>
      </c>
      <c r="D19" s="113">
        <v>3978986.83</v>
      </c>
      <c r="E19" s="113">
        <v>0</v>
      </c>
      <c r="F19" s="113">
        <v>743773380.7</v>
      </c>
      <c r="G19" s="113">
        <v>22297166.519145843</v>
      </c>
      <c r="H19" s="113">
        <v>0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spans="1:8" ht="15">
      <c r="A20" s="56" t="s">
        <v>138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5">
      <c r="A21" s="56" t="s">
        <v>139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5">
      <c r="A22" s="29"/>
      <c r="B22" s="81"/>
      <c r="C22" s="81"/>
      <c r="D22" s="81"/>
      <c r="E22" s="81"/>
      <c r="F22" s="81"/>
      <c r="G22" s="81"/>
      <c r="H22" s="81"/>
    </row>
    <row r="23" spans="1:8" s="122" customFormat="1" ht="15">
      <c r="A23" s="120" t="s">
        <v>140</v>
      </c>
      <c r="B23" s="82">
        <v>231645499.8</v>
      </c>
      <c r="C23" s="121"/>
      <c r="D23" s="121"/>
      <c r="E23" s="123"/>
      <c r="F23" s="125">
        <v>261470326.3</v>
      </c>
      <c r="G23" s="124"/>
      <c r="H23" s="121"/>
    </row>
    <row r="24" spans="1:8" ht="15">
      <c r="A24" s="29"/>
      <c r="B24" s="81"/>
      <c r="C24" s="81"/>
      <c r="D24" s="81"/>
      <c r="E24" s="81"/>
      <c r="F24" s="81"/>
      <c r="G24" s="81"/>
      <c r="H24" s="81"/>
    </row>
    <row r="25" spans="1:8" ht="15">
      <c r="A25" s="54" t="s">
        <v>141</v>
      </c>
      <c r="B25" s="75">
        <f>B8+B23</f>
        <v>2381549078.88</v>
      </c>
      <c r="C25" s="75">
        <f aca="true" t="shared" si="7" ref="C25:H25">C8+C23</f>
        <v>0</v>
      </c>
      <c r="D25" s="75">
        <f t="shared" si="7"/>
        <v>15639291.4</v>
      </c>
      <c r="E25" s="75">
        <f t="shared" si="7"/>
        <v>0</v>
      </c>
      <c r="F25" s="75">
        <f>F8+F23</f>
        <v>2395734613.98</v>
      </c>
      <c r="G25" s="75">
        <f t="shared" si="7"/>
        <v>64729880.01914585</v>
      </c>
      <c r="H25" s="75">
        <f t="shared" si="7"/>
        <v>0</v>
      </c>
    </row>
    <row r="26" spans="1:8" ht="15">
      <c r="A26" s="29"/>
      <c r="B26" s="74"/>
      <c r="C26" s="74"/>
      <c r="D26" s="74"/>
      <c r="E26" s="74"/>
      <c r="F26" s="74"/>
      <c r="G26" s="74"/>
      <c r="H26" s="74"/>
    </row>
    <row r="27" spans="1:8" ht="17.25">
      <c r="A27" s="54" t="s">
        <v>142</v>
      </c>
      <c r="B27" s="75">
        <f>SUM(B28:DEUDA_CONT_FIN_01)</f>
        <v>0</v>
      </c>
      <c r="C27" s="75">
        <f>SUM(C28:DEUDA_CONT_FIN_02)</f>
        <v>0</v>
      </c>
      <c r="D27" s="75">
        <f>SUM(D28:DEUDA_CONT_FIN_03)</f>
        <v>0</v>
      </c>
      <c r="E27" s="75">
        <f>SUM(E28:DEUDA_CONT_FIN_04)</f>
        <v>0</v>
      </c>
      <c r="F27" s="75">
        <f>SUM(F28:DEUDA_CONT_FIN_05)</f>
        <v>0</v>
      </c>
      <c r="G27" s="75">
        <f>SUM(G28:DEUDA_CONT_FIN_06)</f>
        <v>0</v>
      </c>
      <c r="H27" s="75">
        <f>SUM(H28:DEUDA_CONT_FIN_07)</f>
        <v>0</v>
      </c>
    </row>
    <row r="28" spans="1:8" ht="15">
      <c r="A28" s="57" t="s">
        <v>143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5">
      <c r="A29" s="57" t="s">
        <v>144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</row>
    <row r="30" spans="1:8" ht="15">
      <c r="A30" s="57" t="s">
        <v>145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15">
      <c r="A31" s="33" t="s">
        <v>146</v>
      </c>
      <c r="B31" s="74"/>
      <c r="C31" s="74"/>
      <c r="D31" s="74"/>
      <c r="E31" s="74"/>
      <c r="F31" s="74"/>
      <c r="G31" s="74"/>
      <c r="H31" s="74"/>
    </row>
    <row r="32" spans="1:8" ht="17.25">
      <c r="A32" s="54" t="s">
        <v>147</v>
      </c>
      <c r="B32" s="75">
        <f>SUM(B33:VALOR_INS_BCC_FIN_01)</f>
        <v>476222500</v>
      </c>
      <c r="C32" s="75">
        <f>SUM(C33:VALOR_INS_BCC_FIN_02)</f>
        <v>0</v>
      </c>
      <c r="D32" s="75">
        <f>SUM(D33:VALOR_INS_BCC_FIN_03)</f>
        <v>0</v>
      </c>
      <c r="E32" s="75">
        <f>SUM(E33:VALOR_INS_BCC_FIN_04)</f>
        <v>0</v>
      </c>
      <c r="F32" s="75">
        <f>SUM(F33:VALOR_INS_BCC_FIN_05)</f>
        <v>476222500</v>
      </c>
      <c r="G32" s="75">
        <f>SUM(G33:VALOR_INS_BCC_FIN_06)</f>
        <v>9853209.440000001</v>
      </c>
      <c r="H32" s="75">
        <f>SUM(H33:zfds)</f>
        <v>0</v>
      </c>
    </row>
    <row r="33" spans="1:8" ht="17.25">
      <c r="A33" s="57" t="s">
        <v>447</v>
      </c>
      <c r="B33" s="73">
        <v>83449015</v>
      </c>
      <c r="C33" s="73">
        <v>0</v>
      </c>
      <c r="D33" s="73">
        <v>0</v>
      </c>
      <c r="E33" s="73">
        <v>0</v>
      </c>
      <c r="F33" s="73">
        <v>83449015</v>
      </c>
      <c r="G33" s="73">
        <v>1786666.58</v>
      </c>
      <c r="H33" s="73">
        <v>0</v>
      </c>
    </row>
    <row r="34" spans="1:8" ht="17.25">
      <c r="A34" s="57" t="s">
        <v>448</v>
      </c>
      <c r="B34" s="73">
        <v>208708907</v>
      </c>
      <c r="C34" s="73">
        <v>0</v>
      </c>
      <c r="D34" s="73">
        <v>0</v>
      </c>
      <c r="E34" s="73">
        <v>0</v>
      </c>
      <c r="F34" s="73">
        <v>208708907</v>
      </c>
      <c r="G34" s="73">
        <v>4207439.89</v>
      </c>
      <c r="H34" s="73">
        <v>0</v>
      </c>
    </row>
    <row r="35" spans="1:8" ht="17.25">
      <c r="A35" s="57" t="s">
        <v>449</v>
      </c>
      <c r="B35" s="73">
        <v>72675017</v>
      </c>
      <c r="C35" s="73">
        <v>0</v>
      </c>
      <c r="D35" s="73">
        <v>0</v>
      </c>
      <c r="E35" s="73">
        <v>0</v>
      </c>
      <c r="F35" s="73">
        <v>72675017</v>
      </c>
      <c r="G35" s="73">
        <v>1561383.66</v>
      </c>
      <c r="H35" s="73">
        <v>0</v>
      </c>
    </row>
    <row r="36" spans="1:8" ht="17.25">
      <c r="A36" s="57" t="s">
        <v>450</v>
      </c>
      <c r="B36" s="73">
        <v>6854706</v>
      </c>
      <c r="C36" s="73">
        <v>0</v>
      </c>
      <c r="D36" s="73">
        <v>0</v>
      </c>
      <c r="E36" s="73">
        <v>0</v>
      </c>
      <c r="F36" s="73">
        <v>6854706</v>
      </c>
      <c r="G36" s="73">
        <v>145241.69</v>
      </c>
      <c r="H36" s="73">
        <v>0</v>
      </c>
    </row>
    <row r="37" spans="1:8" ht="17.25">
      <c r="A37" s="57" t="s">
        <v>451</v>
      </c>
      <c r="B37" s="73">
        <v>104534855</v>
      </c>
      <c r="C37" s="73">
        <v>0</v>
      </c>
      <c r="D37" s="73">
        <v>0</v>
      </c>
      <c r="E37" s="73"/>
      <c r="F37" s="73">
        <v>104534855</v>
      </c>
      <c r="G37" s="73">
        <v>2152477.62</v>
      </c>
      <c r="H37" s="73">
        <v>0</v>
      </c>
    </row>
    <row r="38" spans="1:8" ht="15">
      <c r="A38" s="58" t="s">
        <v>146</v>
      </c>
      <c r="B38" s="83"/>
      <c r="C38" s="35"/>
      <c r="D38" s="35"/>
      <c r="E38" s="35"/>
      <c r="F38" s="35"/>
      <c r="G38" s="35"/>
      <c r="H38" s="35"/>
    </row>
    <row r="39" spans="1:8" ht="15">
      <c r="A39" s="59"/>
      <c r="B39" s="84"/>
      <c r="C39" s="32"/>
      <c r="D39" s="32"/>
      <c r="E39" s="32"/>
      <c r="F39" s="32"/>
      <c r="G39" s="32"/>
      <c r="H39" s="32"/>
    </row>
    <row r="40" spans="1:8" ht="15">
      <c r="A40" s="160" t="s">
        <v>452</v>
      </c>
      <c r="B40" s="161"/>
      <c r="C40" s="161"/>
      <c r="D40" s="161"/>
      <c r="E40" s="161"/>
      <c r="F40" s="161"/>
      <c r="G40" s="161"/>
      <c r="H40" s="161"/>
    </row>
    <row r="41" spans="1:8" ht="15">
      <c r="A41" s="161"/>
      <c r="B41" s="161"/>
      <c r="C41" s="161"/>
      <c r="D41" s="161"/>
      <c r="E41" s="161"/>
      <c r="F41" s="161"/>
      <c r="G41" s="161"/>
      <c r="H41" s="161"/>
    </row>
    <row r="42" spans="1:8" ht="15">
      <c r="A42" s="161"/>
      <c r="B42" s="161"/>
      <c r="C42" s="161"/>
      <c r="D42" s="161"/>
      <c r="E42" s="161"/>
      <c r="F42" s="161"/>
      <c r="G42" s="161"/>
      <c r="H42" s="161"/>
    </row>
    <row r="43" spans="1:8" ht="15">
      <c r="A43" s="161"/>
      <c r="B43" s="161"/>
      <c r="C43" s="161"/>
      <c r="D43" s="161"/>
      <c r="E43" s="161"/>
      <c r="F43" s="161"/>
      <c r="G43" s="161"/>
      <c r="H43" s="161"/>
    </row>
    <row r="44" spans="1:8" ht="15">
      <c r="A44" s="161"/>
      <c r="B44" s="161"/>
      <c r="C44" s="161"/>
      <c r="D44" s="161"/>
      <c r="E44" s="161"/>
      <c r="F44" s="161"/>
      <c r="G44" s="161"/>
      <c r="H44" s="161"/>
    </row>
    <row r="45" spans="1:8" ht="15">
      <c r="A45" s="59"/>
      <c r="B45" s="84"/>
      <c r="C45" s="32"/>
      <c r="D45" s="32"/>
      <c r="E45" s="32"/>
      <c r="F45" s="32"/>
      <c r="G45" s="32"/>
      <c r="H45" s="32"/>
    </row>
    <row r="46" spans="1:8" ht="30">
      <c r="A46" s="5" t="s">
        <v>148</v>
      </c>
      <c r="B46" s="85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2"/>
      <c r="H46" s="32"/>
    </row>
    <row r="47" spans="1:8" ht="15">
      <c r="A47" s="29"/>
      <c r="B47" s="80"/>
      <c r="C47" s="49"/>
      <c r="D47" s="49"/>
      <c r="E47" s="49"/>
      <c r="F47" s="49"/>
      <c r="G47" s="32"/>
      <c r="H47" s="32"/>
    </row>
    <row r="48" spans="1:8" ht="15">
      <c r="A48" s="54" t="s">
        <v>154</v>
      </c>
      <c r="B48" s="75">
        <f>SUM(B49:OB_CORTO_PLAZO_FIN_01)</f>
        <v>0</v>
      </c>
      <c r="C48" s="75">
        <f>SUM(C49:fgsgfdfdfzxvzcvczv)</f>
        <v>0</v>
      </c>
      <c r="D48" s="75">
        <f>SUM(D49:OB_CORTO_PLAZO_FIN_03)</f>
        <v>0</v>
      </c>
      <c r="E48" s="75">
        <f>SUM(E49:gfhdhdgh)</f>
        <v>0</v>
      </c>
      <c r="F48" s="75">
        <f>SUM(F49:OB_CORTO_PLAZO_FIN_05)</f>
        <v>0</v>
      </c>
      <c r="G48" s="32"/>
      <c r="H48" s="32"/>
    </row>
    <row r="49" spans="1:8" ht="15">
      <c r="A49" s="57" t="s">
        <v>155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60"/>
      <c r="H49" s="60"/>
    </row>
    <row r="50" spans="1:8" ht="15">
      <c r="A50" s="57" t="s">
        <v>156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60"/>
      <c r="H50" s="60"/>
    </row>
    <row r="51" spans="1:8" ht="15">
      <c r="A51" s="57" t="s">
        <v>157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60"/>
      <c r="H51" s="60"/>
    </row>
    <row r="52" spans="1:8" ht="15">
      <c r="A52" s="61" t="s">
        <v>146</v>
      </c>
      <c r="B52" s="83"/>
      <c r="C52" s="35"/>
      <c r="D52" s="35"/>
      <c r="E52" s="35"/>
      <c r="F52" s="35"/>
      <c r="G52" s="32"/>
      <c r="H52" s="32"/>
    </row>
    <row r="53" spans="1:8" ht="15">
      <c r="A53" s="32"/>
      <c r="B53" s="84"/>
      <c r="C53" s="32"/>
      <c r="D53" s="32"/>
      <c r="E53" s="32"/>
      <c r="F53" s="32"/>
      <c r="G53" s="32"/>
      <c r="H53" s="32"/>
    </row>
    <row r="54" ht="15"/>
    <row r="55" ht="15"/>
    <row r="56" ht="15"/>
    <row r="57" ht="15"/>
    <row r="58" ht="15"/>
    <row r="59" ht="15"/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C8:H12 C13:IV19 C20:H37 B8:B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 horizontalCentered="1"/>
  <pageMargins left="0.7874015748031497" right="0.3937007874015748" top="0.7480314960629921" bottom="0.7480314960629921" header="0.31496062992125984" footer="0.31496062992125984"/>
  <pageSetup fitToHeight="1" fitToWidth="1" horizontalDpi="600" verticalDpi="600" orientation="landscape" scale="59" r:id="rId1"/>
  <ignoredErrors>
    <ignoredError sqref="C8:F8 B9:E9 H27 H13 H25 H32 E25 C13:F13 C32:E32 B27:G27 C25 B26:G26 D25 B28:G31 B33:F33 B32 F32:G32 B20:G22 IV13:IV14 B48:F48 B24:G24 C23:E23 G23 G9:H9 H8 G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B1">
      <selection activeCell="A5" sqref="A5:K5"/>
    </sheetView>
  </sheetViews>
  <sheetFormatPr defaultColWidth="0.85546875" defaultRowHeight="15" customHeight="1" zeroHeight="1"/>
  <cols>
    <col min="1" max="1" width="76.28125" style="0" customWidth="1"/>
    <col min="2" max="4" width="20.7109375" style="0" customWidth="1"/>
    <col min="5" max="5" width="20.7109375" style="32" customWidth="1"/>
    <col min="6" max="6" width="20.7109375" style="0" customWidth="1"/>
    <col min="7" max="11" width="25.7109375" style="0" customWidth="1"/>
    <col min="12" max="255" width="10.7109375" style="0" hidden="1" customWidth="1"/>
  </cols>
  <sheetData>
    <row r="1" spans="1:12" s="11" customFormat="1" ht="37.5" customHeight="1">
      <c r="A1" s="163" t="s">
        <v>158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0"/>
    </row>
    <row r="2" spans="1:11" ht="15">
      <c r="A2" s="148" t="s">
        <v>286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1" ht="15">
      <c r="A3" s="151" t="s">
        <v>159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11" ht="15">
      <c r="A4" s="154" t="s">
        <v>481</v>
      </c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1" ht="15">
      <c r="A5" s="151" t="s">
        <v>2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471</v>
      </c>
      <c r="J6" s="2" t="s">
        <v>472</v>
      </c>
      <c r="K6" s="2" t="s">
        <v>473</v>
      </c>
    </row>
    <row r="7" spans="1:11" ht="15">
      <c r="A7" s="21"/>
      <c r="B7" s="7"/>
      <c r="C7" s="7"/>
      <c r="D7" s="7"/>
      <c r="E7" s="49"/>
      <c r="F7" s="7"/>
      <c r="G7" s="49"/>
      <c r="H7" s="49"/>
      <c r="I7" s="49"/>
      <c r="J7" s="49"/>
      <c r="K7" s="49"/>
    </row>
    <row r="8" spans="1:11" ht="15">
      <c r="A8" s="128" t="s">
        <v>168</v>
      </c>
      <c r="B8" s="12"/>
      <c r="C8" s="12"/>
      <c r="D8" s="12"/>
      <c r="E8" s="75">
        <f>SUM(E9:APP_FIN_04)</f>
        <v>0</v>
      </c>
      <c r="F8" s="86"/>
      <c r="G8" s="75">
        <f>SUM(G9:APP_FIN_06)</f>
        <v>0</v>
      </c>
      <c r="H8" s="75">
        <f>SUM(H9:APP_FIN_07)</f>
        <v>0</v>
      </c>
      <c r="I8" s="75">
        <f>SUM(I9:APP_FIN_08)</f>
        <v>0</v>
      </c>
      <c r="J8" s="75">
        <f>SUM(J9:APP_FIN_09)</f>
        <v>0</v>
      </c>
      <c r="K8" s="75">
        <f>SUM(K9:APP_FIN_10)</f>
        <v>0</v>
      </c>
    </row>
    <row r="9" spans="1:11" s="9" customFormat="1" ht="15">
      <c r="A9" s="129" t="s">
        <v>169</v>
      </c>
      <c r="B9" s="50"/>
      <c r="C9" s="50"/>
      <c r="D9" s="50"/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f>E9-J9</f>
        <v>0</v>
      </c>
    </row>
    <row r="10" spans="1:11" s="9" customFormat="1" ht="15">
      <c r="A10" s="129" t="s">
        <v>170</v>
      </c>
      <c r="B10" s="50"/>
      <c r="C10" s="50"/>
      <c r="D10" s="50"/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f>E10-J10</f>
        <v>0</v>
      </c>
    </row>
    <row r="11" spans="1:11" s="9" customFormat="1" ht="15">
      <c r="A11" s="129" t="s">
        <v>171</v>
      </c>
      <c r="B11" s="50"/>
      <c r="C11" s="50"/>
      <c r="D11" s="50"/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f>E11-J11</f>
        <v>0</v>
      </c>
    </row>
    <row r="12" spans="1:11" s="9" customFormat="1" ht="15">
      <c r="A12" s="129" t="s">
        <v>172</v>
      </c>
      <c r="B12" s="50"/>
      <c r="C12" s="50"/>
      <c r="D12" s="50"/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f>E12-J12</f>
        <v>0</v>
      </c>
    </row>
    <row r="13" spans="1:11" ht="15">
      <c r="A13" s="53" t="s">
        <v>146</v>
      </c>
      <c r="B13" s="51"/>
      <c r="C13" s="51"/>
      <c r="D13" s="51"/>
      <c r="E13" s="74"/>
      <c r="F13" s="74"/>
      <c r="G13" s="74"/>
      <c r="H13" s="74"/>
      <c r="I13" s="74"/>
      <c r="J13" s="74"/>
      <c r="K13" s="74"/>
    </row>
    <row r="14" spans="1:11" ht="15">
      <c r="A14" s="128" t="s">
        <v>173</v>
      </c>
      <c r="B14" s="12"/>
      <c r="C14" s="12"/>
      <c r="D14" s="12"/>
      <c r="E14" s="75">
        <f>SUM(E15:OTROS_FIN_04)</f>
        <v>0</v>
      </c>
      <c r="F14" s="86"/>
      <c r="G14" s="75">
        <f>SUM(G15:OTROS_FIN_06)</f>
        <v>0</v>
      </c>
      <c r="H14" s="75">
        <f>SUM(H15:OTROS_FIN_07)</f>
        <v>0</v>
      </c>
      <c r="I14" s="75">
        <f>SUM(I15:OTROS_FIN_08)</f>
        <v>0</v>
      </c>
      <c r="J14" s="75">
        <f>SUM(J15:OTROS_FIN_09)</f>
        <v>0</v>
      </c>
      <c r="K14" s="75">
        <f>SUM(K15:OTROS_FIN_10)</f>
        <v>0</v>
      </c>
    </row>
    <row r="15" spans="1:11" s="9" customFormat="1" ht="15">
      <c r="A15" s="129" t="s">
        <v>174</v>
      </c>
      <c r="B15" s="50"/>
      <c r="C15" s="50"/>
      <c r="D15" s="50"/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f>E15-J15</f>
        <v>0</v>
      </c>
    </row>
    <row r="16" spans="1:11" s="9" customFormat="1" ht="15">
      <c r="A16" s="129" t="s">
        <v>175</v>
      </c>
      <c r="B16" s="50"/>
      <c r="C16" s="50"/>
      <c r="D16" s="50"/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f>E16-J16</f>
        <v>0</v>
      </c>
    </row>
    <row r="17" spans="1:11" s="9" customFormat="1" ht="15">
      <c r="A17" s="129" t="s">
        <v>176</v>
      </c>
      <c r="B17" s="50"/>
      <c r="C17" s="50"/>
      <c r="D17" s="50"/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f>E17-J17</f>
        <v>0</v>
      </c>
    </row>
    <row r="18" spans="1:11" s="9" customFormat="1" ht="15">
      <c r="A18" s="129" t="s">
        <v>177</v>
      </c>
      <c r="B18" s="50"/>
      <c r="C18" s="50"/>
      <c r="D18" s="50"/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f>E18-J18</f>
        <v>0</v>
      </c>
    </row>
    <row r="19" spans="1:11" ht="15">
      <c r="A19" s="53" t="s">
        <v>146</v>
      </c>
      <c r="B19" s="51"/>
      <c r="C19" s="51"/>
      <c r="D19" s="51"/>
      <c r="E19" s="74"/>
      <c r="F19" s="74"/>
      <c r="G19" s="74"/>
      <c r="H19" s="74"/>
      <c r="I19" s="74"/>
      <c r="J19" s="74"/>
      <c r="K19" s="74"/>
    </row>
    <row r="20" spans="1:11" ht="15">
      <c r="A20" s="128" t="s">
        <v>178</v>
      </c>
      <c r="B20" s="12"/>
      <c r="C20" s="12"/>
      <c r="D20" s="12"/>
      <c r="E20" s="75">
        <f>fdggdfgdgfd+sdfsdfsfds</f>
        <v>0</v>
      </c>
      <c r="F20" s="86"/>
      <c r="G20" s="75">
        <f>sdfsfsdf+OTROS_T6</f>
        <v>0</v>
      </c>
      <c r="H20" s="75">
        <f>APP_T7+dsfdsdsdsdsdsdsdsdsdsdsdsdsdsdsdsdsdsdsdsdsdsdsdsdsdsdsdsdsdsdsdsdsdsds</f>
        <v>0</v>
      </c>
      <c r="I20" s="75">
        <f>APP_T8+dsfsfdsffffffff</f>
        <v>0</v>
      </c>
      <c r="J20" s="75">
        <f>fdsfdsfdsfdsfdsfdsfdsfdsfdsfdsfdsfds+OTROS_T9</f>
        <v>0</v>
      </c>
      <c r="K20" s="75">
        <f>APP_T10+OTROS_T10</f>
        <v>0</v>
      </c>
    </row>
    <row r="21" spans="1:11" ht="15">
      <c r="A21" s="30"/>
      <c r="B21" s="8"/>
      <c r="C21" s="8"/>
      <c r="D21" s="8"/>
      <c r="E21" s="35"/>
      <c r="F21" s="8"/>
      <c r="G21" s="35"/>
      <c r="H21" s="35"/>
      <c r="I21" s="35"/>
      <c r="J21" s="35"/>
      <c r="K21" s="35"/>
    </row>
    <row r="22" ht="15" customHeight="1"/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85" zoomScaleNormal="85" zoomScalePageLayoutView="0" workbookViewId="0" topLeftCell="A1">
      <selection activeCell="B10" sqref="B10"/>
    </sheetView>
  </sheetViews>
  <sheetFormatPr defaultColWidth="0.85546875" defaultRowHeight="15" zeroHeight="1"/>
  <cols>
    <col min="1" max="1" width="123.00390625" style="0" bestFit="1" customWidth="1"/>
    <col min="2" max="4" width="25.7109375" style="0" customWidth="1"/>
    <col min="5" max="255" width="11.421875" style="0" hidden="1" customWidth="1"/>
  </cols>
  <sheetData>
    <row r="1" spans="1:4" ht="21">
      <c r="A1" s="163" t="s">
        <v>179</v>
      </c>
      <c r="B1" s="163"/>
      <c r="C1" s="163"/>
      <c r="D1" s="163"/>
    </row>
    <row r="2" spans="1:4" ht="15">
      <c r="A2" s="148" t="s">
        <v>286</v>
      </c>
      <c r="B2" s="149"/>
      <c r="C2" s="149"/>
      <c r="D2" s="150"/>
    </row>
    <row r="3" spans="1:4" ht="15">
      <c r="A3" s="151" t="s">
        <v>180</v>
      </c>
      <c r="B3" s="152"/>
      <c r="C3" s="152"/>
      <c r="D3" s="153"/>
    </row>
    <row r="4" spans="1:4" ht="15">
      <c r="A4" s="154" t="s">
        <v>481</v>
      </c>
      <c r="B4" s="155"/>
      <c r="C4" s="155"/>
      <c r="D4" s="156"/>
    </row>
    <row r="5" spans="1:4" ht="15">
      <c r="A5" s="157" t="s">
        <v>2</v>
      </c>
      <c r="B5" s="158"/>
      <c r="C5" s="158"/>
      <c r="D5" s="159"/>
    </row>
    <row r="6" spans="1:4" ht="15">
      <c r="A6" s="32"/>
      <c r="B6" s="32"/>
      <c r="C6" s="32"/>
      <c r="D6" s="32"/>
    </row>
    <row r="7" spans="1:4" ht="30">
      <c r="A7" s="13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0" t="s">
        <v>184</v>
      </c>
      <c r="B8" s="40">
        <f>SUM(B9:B11)</f>
        <v>25707558441</v>
      </c>
      <c r="C8" s="40">
        <f>SUM(C9:C11)</f>
        <v>7289976853.110001</v>
      </c>
      <c r="D8" s="40">
        <f>SUM(D9:D11)</f>
        <v>7289966004.110001</v>
      </c>
    </row>
    <row r="9" spans="1:4" ht="15">
      <c r="A9" s="18" t="s">
        <v>185</v>
      </c>
      <c r="B9" s="41">
        <f>+'Formato 5'!B41</f>
        <v>12642863446</v>
      </c>
      <c r="C9" s="41">
        <f>+'Formato 5'!E41</f>
        <v>3937215327.29</v>
      </c>
      <c r="D9" s="48">
        <f>+'Formato 5'!F41</f>
        <v>3937204478.29</v>
      </c>
    </row>
    <row r="10" spans="1:4" ht="15">
      <c r="A10" s="18" t="s">
        <v>186</v>
      </c>
      <c r="B10" s="41">
        <f>+'Formato 5'!B65</f>
        <v>13130768295</v>
      </c>
      <c r="C10" s="41">
        <f>+'Formato 5'!E65</f>
        <v>3368400817.2200003</v>
      </c>
      <c r="D10" s="48">
        <f>+'Formato 5'!F65</f>
        <v>3368400817.2200003</v>
      </c>
    </row>
    <row r="11" spans="1:4" ht="15">
      <c r="A11" s="18" t="s">
        <v>187</v>
      </c>
      <c r="B11" s="41">
        <f>B44</f>
        <v>-66073300</v>
      </c>
      <c r="C11" s="41">
        <f>C44</f>
        <v>-15639291.4</v>
      </c>
      <c r="D11" s="41">
        <f>D44</f>
        <v>-15639291.4</v>
      </c>
    </row>
    <row r="12" spans="1:4" ht="15">
      <c r="A12" s="19"/>
      <c r="B12" s="34"/>
      <c r="C12" s="34"/>
      <c r="D12" s="34"/>
    </row>
    <row r="13" spans="1:4" ht="15">
      <c r="A13" s="20" t="s">
        <v>188</v>
      </c>
      <c r="B13" s="40">
        <f>B14+B15</f>
        <v>25707558441</v>
      </c>
      <c r="C13" s="40">
        <f>C14+C15</f>
        <v>6307375801.16</v>
      </c>
      <c r="D13" s="40">
        <f>D14+D15</f>
        <v>6292152323.11</v>
      </c>
    </row>
    <row r="14" spans="1:4" ht="15">
      <c r="A14" s="18" t="s">
        <v>189</v>
      </c>
      <c r="B14" s="41">
        <f>+'Formato 6 a)'!B9-'Formato 6 a)'!B75</f>
        <v>12576790146</v>
      </c>
      <c r="C14" s="41">
        <f>+'Formato 6 a)'!E9-'Formato 6 a)'!E75</f>
        <v>3204578696.9300003</v>
      </c>
      <c r="D14" s="41">
        <f>+'Formato 6 a)'!F9-'Formato 6 a)'!F75</f>
        <v>3189355218.88</v>
      </c>
    </row>
    <row r="15" spans="1:4" ht="15">
      <c r="A15" s="18" t="s">
        <v>190</v>
      </c>
      <c r="B15" s="41">
        <f>+'Formato 6 a)'!B83-'Formato 6 a)'!B150</f>
        <v>13130768295</v>
      </c>
      <c r="C15" s="41">
        <f>+'Formato 6 a)'!E83-'Formato 6 a)'!E150</f>
        <v>3102797104.2299995</v>
      </c>
      <c r="D15" s="41">
        <f>+'Formato 6 a)'!F83-'Formato 6 a)'!F150</f>
        <v>3102797104.2299995</v>
      </c>
    </row>
    <row r="16" spans="1:4" ht="15">
      <c r="A16" s="19"/>
      <c r="B16" s="34"/>
      <c r="C16" s="34"/>
      <c r="D16" s="34"/>
    </row>
    <row r="17" spans="1:4" ht="15">
      <c r="A17" s="20" t="s">
        <v>191</v>
      </c>
      <c r="B17" s="15">
        <f>B18+B19</f>
        <v>0</v>
      </c>
      <c r="C17" s="14">
        <f>C18+C19</f>
        <v>473780129.46000004</v>
      </c>
      <c r="D17" s="14">
        <f>D18+D19</f>
        <v>464114915.40999997</v>
      </c>
    </row>
    <row r="18" spans="1:4" ht="15">
      <c r="A18" s="18" t="s">
        <v>192</v>
      </c>
      <c r="B18" s="16">
        <v>0</v>
      </c>
      <c r="C18" s="48">
        <v>391429887.34000003</v>
      </c>
      <c r="D18" s="48">
        <v>381764673.28999996</v>
      </c>
    </row>
    <row r="19" spans="1:4" ht="15">
      <c r="A19" s="18" t="s">
        <v>193</v>
      </c>
      <c r="B19" s="16">
        <v>0</v>
      </c>
      <c r="C19" s="48">
        <v>82350242.12000002</v>
      </c>
      <c r="D19" s="48">
        <v>82350242.12000002</v>
      </c>
    </row>
    <row r="20" spans="1:4" ht="10.5" customHeight="1">
      <c r="A20" s="19"/>
      <c r="B20" s="34"/>
      <c r="C20" s="34"/>
      <c r="D20" s="34"/>
    </row>
    <row r="21" spans="1:4" ht="15">
      <c r="A21" s="20" t="s">
        <v>194</v>
      </c>
      <c r="B21" s="87">
        <f>B8-B13+B17</f>
        <v>0</v>
      </c>
      <c r="C21" s="40">
        <f>C8-C13+C17</f>
        <v>1456381181.4100008</v>
      </c>
      <c r="D21" s="119">
        <f>D8-D13+D17</f>
        <v>1461928596.4100008</v>
      </c>
    </row>
    <row r="22" spans="1:4" ht="7.5" customHeight="1">
      <c r="A22" s="20"/>
      <c r="B22" s="34"/>
      <c r="C22" s="34"/>
      <c r="D22" s="34"/>
    </row>
    <row r="23" spans="1:4" ht="15">
      <c r="A23" s="20" t="s">
        <v>195</v>
      </c>
      <c r="B23" s="40">
        <f>B21-B11</f>
        <v>66073300</v>
      </c>
      <c r="C23" s="40">
        <f>C21-C11</f>
        <v>1472020472.810001</v>
      </c>
      <c r="D23" s="40">
        <f>D21-D11</f>
        <v>1477567887.810001</v>
      </c>
    </row>
    <row r="24" spans="1:4" ht="7.5" customHeight="1">
      <c r="A24" s="20"/>
      <c r="B24" s="47"/>
      <c r="C24" s="47"/>
      <c r="D24" s="47"/>
    </row>
    <row r="25" spans="1:4" ht="15">
      <c r="A25" s="37" t="s">
        <v>196</v>
      </c>
      <c r="B25" s="40">
        <f>B23-B17</f>
        <v>66073300</v>
      </c>
      <c r="C25" s="40">
        <f>C23-C17</f>
        <v>998240343.3500009</v>
      </c>
      <c r="D25" s="40">
        <f>D23-D17</f>
        <v>1013452972.4000009</v>
      </c>
    </row>
    <row r="26" spans="1:4" ht="10.5" customHeight="1">
      <c r="A26" s="46"/>
      <c r="B26" s="35"/>
      <c r="C26" s="35"/>
      <c r="D26" s="35"/>
    </row>
    <row r="27" spans="1:4" ht="15">
      <c r="A27" s="59"/>
      <c r="B27" s="32"/>
      <c r="C27" s="32"/>
      <c r="D27" s="32"/>
    </row>
    <row r="28" spans="1:4" ht="17.25" customHeight="1">
      <c r="A28" s="13" t="s">
        <v>197</v>
      </c>
      <c r="B28" s="144" t="s">
        <v>476</v>
      </c>
      <c r="C28" s="144" t="s">
        <v>182</v>
      </c>
      <c r="D28" s="144" t="s">
        <v>198</v>
      </c>
    </row>
    <row r="29" spans="1:4" ht="15">
      <c r="A29" s="20" t="s">
        <v>199</v>
      </c>
      <c r="B29" s="23">
        <f>B30+B31</f>
        <v>298568041</v>
      </c>
      <c r="C29" s="23">
        <f>C30+C31</f>
        <v>74583089.46</v>
      </c>
      <c r="D29" s="23">
        <f>D30+D31</f>
        <v>74583089.46</v>
      </c>
    </row>
    <row r="30" spans="1:4" ht="15">
      <c r="A30" s="18" t="s">
        <v>200</v>
      </c>
      <c r="B30" s="24">
        <f>+'Formato 6 a)'!B76</f>
        <v>298568041</v>
      </c>
      <c r="C30" s="24">
        <f>+'Formato 6 a)'!E76</f>
        <v>74583089.46</v>
      </c>
      <c r="D30" s="24">
        <f>+'Formato 6 a)'!F76</f>
        <v>74583089.46</v>
      </c>
    </row>
    <row r="31" spans="1:4" ht="15">
      <c r="A31" s="18" t="s">
        <v>201</v>
      </c>
      <c r="B31" s="73">
        <v>0</v>
      </c>
      <c r="C31" s="73">
        <v>0</v>
      </c>
      <c r="D31" s="73">
        <v>0</v>
      </c>
    </row>
    <row r="32" spans="1:4" ht="15">
      <c r="A32" s="29"/>
      <c r="B32" s="25"/>
      <c r="C32" s="25"/>
      <c r="D32" s="25"/>
    </row>
    <row r="33" spans="1:4" ht="15">
      <c r="A33" s="20" t="s">
        <v>202</v>
      </c>
      <c r="B33" s="23">
        <f>B25+B29</f>
        <v>364641341</v>
      </c>
      <c r="C33" s="23">
        <f>C25+C29</f>
        <v>1072823432.8100009</v>
      </c>
      <c r="D33" s="23">
        <f>D25+D29</f>
        <v>1088036061.8600008</v>
      </c>
    </row>
    <row r="34" spans="1:4" ht="15">
      <c r="A34" s="30"/>
      <c r="B34" s="30"/>
      <c r="C34" s="30"/>
      <c r="D34" s="30"/>
    </row>
    <row r="35" spans="1:4" ht="15">
      <c r="A35" s="59"/>
      <c r="B35" s="32"/>
      <c r="C35" s="32"/>
      <c r="D35" s="32"/>
    </row>
    <row r="36" spans="1:4" ht="30">
      <c r="A36" s="13" t="s">
        <v>197</v>
      </c>
      <c r="B36" s="6" t="s">
        <v>203</v>
      </c>
      <c r="C36" s="6" t="s">
        <v>182</v>
      </c>
      <c r="D36" s="6" t="s">
        <v>183</v>
      </c>
    </row>
    <row r="37" spans="1:4" ht="15">
      <c r="A37" s="20" t="s">
        <v>204</v>
      </c>
      <c r="B37" s="75">
        <f>B38+B39</f>
        <v>0</v>
      </c>
      <c r="C37" s="75">
        <f>C38+C39</f>
        <v>0</v>
      </c>
      <c r="D37" s="75">
        <f>D38+D39</f>
        <v>0</v>
      </c>
    </row>
    <row r="38" spans="1:4" ht="15">
      <c r="A38" s="18" t="s">
        <v>205</v>
      </c>
      <c r="B38" s="73">
        <v>0</v>
      </c>
      <c r="C38" s="73">
        <v>0</v>
      </c>
      <c r="D38" s="73">
        <v>0</v>
      </c>
    </row>
    <row r="39" spans="1:4" ht="15">
      <c r="A39" s="18" t="s">
        <v>206</v>
      </c>
      <c r="B39" s="73">
        <v>0</v>
      </c>
      <c r="C39" s="73">
        <v>0</v>
      </c>
      <c r="D39" s="73">
        <v>0</v>
      </c>
    </row>
    <row r="40" spans="1:4" ht="15">
      <c r="A40" s="20" t="s">
        <v>207</v>
      </c>
      <c r="B40" s="75">
        <f>B41+B42</f>
        <v>66073300</v>
      </c>
      <c r="C40" s="75">
        <f>C41+C42</f>
        <v>15639291.4</v>
      </c>
      <c r="D40" s="75">
        <f>D41+D42</f>
        <v>15639291.4</v>
      </c>
    </row>
    <row r="41" spans="1:4" ht="15">
      <c r="A41" s="18" t="s">
        <v>208</v>
      </c>
      <c r="B41" s="73">
        <f>+'Formato 6 a)'!B75</f>
        <v>66073300</v>
      </c>
      <c r="C41" s="73">
        <f>+'Formato 6 a)'!E75</f>
        <v>15639291.4</v>
      </c>
      <c r="D41" s="73">
        <f>+'Formato 6 a)'!F75</f>
        <v>15639291.4</v>
      </c>
    </row>
    <row r="42" spans="1:4" ht="15">
      <c r="A42" s="18" t="s">
        <v>209</v>
      </c>
      <c r="B42" s="73">
        <v>0</v>
      </c>
      <c r="C42" s="73">
        <v>0</v>
      </c>
      <c r="D42" s="73">
        <v>0</v>
      </c>
    </row>
    <row r="43" spans="1:4" ht="15">
      <c r="A43" s="29"/>
      <c r="B43" s="74"/>
      <c r="C43" s="74"/>
      <c r="D43" s="74"/>
    </row>
    <row r="44" spans="1:4" ht="15">
      <c r="A44" s="20" t="s">
        <v>210</v>
      </c>
      <c r="B44" s="143">
        <f>B37-B40</f>
        <v>-66073300</v>
      </c>
      <c r="C44" s="143">
        <f>C37-C40</f>
        <v>-15639291.4</v>
      </c>
      <c r="D44" s="143">
        <f>D37-D40</f>
        <v>-15639291.4</v>
      </c>
    </row>
    <row r="45" spans="1:4" ht="15">
      <c r="A45" s="45"/>
      <c r="B45" s="30"/>
      <c r="C45" s="30"/>
      <c r="D45" s="30"/>
    </row>
    <row r="46" spans="1:4" ht="15">
      <c r="A46" s="32"/>
      <c r="B46" s="32"/>
      <c r="C46" s="32"/>
      <c r="D46" s="32"/>
    </row>
    <row r="47" spans="1:4" ht="30">
      <c r="A47" s="13" t="s">
        <v>197</v>
      </c>
      <c r="B47" s="6" t="s">
        <v>203</v>
      </c>
      <c r="C47" s="6" t="s">
        <v>182</v>
      </c>
      <c r="D47" s="6" t="s">
        <v>183</v>
      </c>
    </row>
    <row r="48" spans="1:4" ht="15">
      <c r="A48" s="38" t="s">
        <v>211</v>
      </c>
      <c r="B48" s="42">
        <f>B9</f>
        <v>12642863446</v>
      </c>
      <c r="C48" s="42">
        <f>C9</f>
        <v>3937215327.29</v>
      </c>
      <c r="D48" s="42">
        <f>D9</f>
        <v>3937204478.29</v>
      </c>
    </row>
    <row r="49" spans="1:4" ht="15">
      <c r="A49" s="146" t="s">
        <v>212</v>
      </c>
      <c r="B49" s="23">
        <f>B50-B51</f>
        <v>-66073300</v>
      </c>
      <c r="C49" s="23">
        <f>C50-C51</f>
        <v>-15639291.4</v>
      </c>
      <c r="D49" s="23">
        <f>D50-D51</f>
        <v>-15639291.4</v>
      </c>
    </row>
    <row r="50" spans="1:4" ht="15">
      <c r="A50" s="145" t="s">
        <v>205</v>
      </c>
      <c r="B50" s="73">
        <f>+B38</f>
        <v>0</v>
      </c>
      <c r="C50" s="73">
        <f>+C38</f>
        <v>0</v>
      </c>
      <c r="D50" s="73">
        <f>+D38</f>
        <v>0</v>
      </c>
    </row>
    <row r="51" spans="1:4" ht="15">
      <c r="A51" s="145" t="s">
        <v>208</v>
      </c>
      <c r="B51" s="73">
        <f>+B41</f>
        <v>66073300</v>
      </c>
      <c r="C51" s="73">
        <f>+C41</f>
        <v>15639291.4</v>
      </c>
      <c r="D51" s="73">
        <f>+D41</f>
        <v>15639291.4</v>
      </c>
    </row>
    <row r="52" spans="1:4" ht="9" customHeight="1">
      <c r="A52" s="29"/>
      <c r="B52" s="74"/>
      <c r="C52" s="74"/>
      <c r="D52" s="74"/>
    </row>
    <row r="53" spans="1:4" ht="15">
      <c r="A53" s="18" t="s">
        <v>189</v>
      </c>
      <c r="B53" s="73">
        <f>B14</f>
        <v>12576790146</v>
      </c>
      <c r="C53" s="73">
        <f>C14</f>
        <v>3204578696.9300003</v>
      </c>
      <c r="D53" s="73">
        <f>D14</f>
        <v>3189355218.88</v>
      </c>
    </row>
    <row r="54" spans="1:4" ht="9.75" customHeight="1">
      <c r="A54" s="29"/>
      <c r="B54" s="74"/>
      <c r="C54" s="74"/>
      <c r="D54" s="74"/>
    </row>
    <row r="55" spans="1:4" ht="15">
      <c r="A55" s="18" t="s">
        <v>192</v>
      </c>
      <c r="B55" s="88">
        <f>B18</f>
        <v>0</v>
      </c>
      <c r="C55" s="89">
        <f>C18</f>
        <v>391429887.34000003</v>
      </c>
      <c r="D55" s="89">
        <f>D18</f>
        <v>381764673.28999996</v>
      </c>
    </row>
    <row r="56" spans="1:4" ht="11.25" customHeight="1">
      <c r="A56" s="29"/>
      <c r="B56" s="74"/>
      <c r="C56" s="74"/>
      <c r="D56" s="74"/>
    </row>
    <row r="57" spans="1:4" ht="15">
      <c r="A57" s="37" t="s">
        <v>474</v>
      </c>
      <c r="B57" s="75">
        <f>B48+B49-B53+B55</f>
        <v>0</v>
      </c>
      <c r="C57" s="75">
        <f>C48+C49-C53+C55</f>
        <v>1108427226.2999997</v>
      </c>
      <c r="D57" s="75">
        <f>D48+D49-D53+D55</f>
        <v>1113974641.2999997</v>
      </c>
    </row>
    <row r="58" spans="1:4" ht="6" customHeight="1">
      <c r="A58" s="43"/>
      <c r="B58" s="44"/>
      <c r="C58" s="44"/>
      <c r="D58" s="44"/>
    </row>
    <row r="59" spans="1:4" ht="15">
      <c r="A59" s="37" t="s">
        <v>213</v>
      </c>
      <c r="B59" s="23">
        <f>B57-B49</f>
        <v>66073300</v>
      </c>
      <c r="C59" s="23">
        <f>C57-C49</f>
        <v>1124066517.6999998</v>
      </c>
      <c r="D59" s="23">
        <f>D57-D49</f>
        <v>1129613932.6999998</v>
      </c>
    </row>
    <row r="60" spans="1:4" ht="15">
      <c r="A60" s="30"/>
      <c r="B60" s="30"/>
      <c r="C60" s="30"/>
      <c r="D60" s="30"/>
    </row>
    <row r="61" spans="1:4" ht="15">
      <c r="A61" s="32"/>
      <c r="B61" s="32"/>
      <c r="C61" s="32"/>
      <c r="D61" s="32"/>
    </row>
    <row r="62" spans="1:4" ht="30">
      <c r="A62" s="13" t="s">
        <v>197</v>
      </c>
      <c r="B62" s="6" t="s">
        <v>203</v>
      </c>
      <c r="C62" s="6" t="s">
        <v>182</v>
      </c>
      <c r="D62" s="6" t="s">
        <v>183</v>
      </c>
    </row>
    <row r="63" spans="1:4" ht="15">
      <c r="A63" s="38" t="s">
        <v>186</v>
      </c>
      <c r="B63" s="39">
        <f>B10</f>
        <v>13130768295</v>
      </c>
      <c r="C63" s="39">
        <f>C10</f>
        <v>3368400817.2200003</v>
      </c>
      <c r="D63" s="39">
        <f>D10</f>
        <v>3368400817.2200003</v>
      </c>
    </row>
    <row r="64" spans="1:4" ht="15">
      <c r="A64" s="18" t="s">
        <v>214</v>
      </c>
      <c r="B64" s="87">
        <f>B65-B66</f>
        <v>0</v>
      </c>
      <c r="C64" s="87">
        <f>C65-C66</f>
        <v>0</v>
      </c>
      <c r="D64" s="87">
        <f>D65-D66</f>
        <v>0</v>
      </c>
    </row>
    <row r="65" spans="1:4" ht="15">
      <c r="A65" s="145" t="s">
        <v>206</v>
      </c>
      <c r="B65" s="90">
        <f>+B39</f>
        <v>0</v>
      </c>
      <c r="C65" s="90">
        <f>+C39</f>
        <v>0</v>
      </c>
      <c r="D65" s="90">
        <f>+D39</f>
        <v>0</v>
      </c>
    </row>
    <row r="66" spans="1:4" ht="15">
      <c r="A66" s="145" t="s">
        <v>209</v>
      </c>
      <c r="B66" s="90">
        <f>+B42</f>
        <v>0</v>
      </c>
      <c r="C66" s="90">
        <f>+C42</f>
        <v>0</v>
      </c>
      <c r="D66" s="90">
        <f>+D42</f>
        <v>0</v>
      </c>
    </row>
    <row r="67" spans="1:4" ht="8.25" customHeight="1">
      <c r="A67" s="29"/>
      <c r="B67" s="81"/>
      <c r="C67" s="81"/>
      <c r="D67" s="81"/>
    </row>
    <row r="68" spans="1:4" ht="15">
      <c r="A68" s="18" t="s">
        <v>215</v>
      </c>
      <c r="B68" s="90">
        <f>B15</f>
        <v>13130768295</v>
      </c>
      <c r="C68" s="90">
        <f>C15</f>
        <v>3102797104.2299995</v>
      </c>
      <c r="D68" s="90">
        <f>D15</f>
        <v>3102797104.2299995</v>
      </c>
    </row>
    <row r="69" spans="1:4" ht="6.75" customHeight="1">
      <c r="A69" s="29"/>
      <c r="B69" s="81"/>
      <c r="C69" s="81"/>
      <c r="D69" s="81"/>
    </row>
    <row r="70" spans="1:4" ht="15">
      <c r="A70" s="18" t="s">
        <v>193</v>
      </c>
      <c r="B70" s="91">
        <f>B19</f>
        <v>0</v>
      </c>
      <c r="C70" s="92">
        <f>C19</f>
        <v>82350242.12000002</v>
      </c>
      <c r="D70" s="92">
        <f>D19</f>
        <v>82350242.12000002</v>
      </c>
    </row>
    <row r="71" spans="1:4" ht="6.75" customHeight="1">
      <c r="A71" s="29"/>
      <c r="B71" s="81"/>
      <c r="C71" s="81"/>
      <c r="D71" s="81"/>
    </row>
    <row r="72" spans="1:4" ht="15">
      <c r="A72" s="37" t="s">
        <v>475</v>
      </c>
      <c r="B72" s="87">
        <f>B63+B64-B68+B70</f>
        <v>0</v>
      </c>
      <c r="C72" s="87">
        <f>C63+C64-C68+C70</f>
        <v>347953955.1100007</v>
      </c>
      <c r="D72" s="87">
        <f>D63+D64-D68+D70</f>
        <v>347953955.1100007</v>
      </c>
    </row>
    <row r="73" spans="1:4" ht="10.5" customHeight="1">
      <c r="A73" s="29"/>
      <c r="B73" s="81"/>
      <c r="C73" s="81"/>
      <c r="D73" s="81"/>
    </row>
    <row r="74" spans="1:4" ht="15">
      <c r="A74" s="37" t="s">
        <v>216</v>
      </c>
      <c r="B74" s="87">
        <f>B72-B64</f>
        <v>0</v>
      </c>
      <c r="C74" s="87">
        <f>C72-C64</f>
        <v>347953955.1100007</v>
      </c>
      <c r="D74" s="87">
        <f>D72-D64</f>
        <v>347953955.1100007</v>
      </c>
    </row>
    <row r="75" spans="1:4" ht="15">
      <c r="A75" s="30"/>
      <c r="B75" s="35"/>
      <c r="C75" s="35"/>
      <c r="D75" s="35"/>
    </row>
    <row r="76" ht="15"/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8:D25 B48:D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orientation="portrait" scale="47" r:id="rId1"/>
  <ignoredErrors>
    <ignoredError sqref="B8:D8 D11 B13:D13 C17:D17 B22:D22 B29:D29 B33:D33 B37:D37 B40:D40 B44 B48:D48 B50:D50 B55:D56 C63:D63 B64:D64 B68:D68 C70:D71 D72:D74 C72 B74:C74 B73 B65:D66 C9:D10 B9:B10 B14:B15 C14:C15 D14:D15 B30:D30 B41:D41 B21:C21 B25:D25 B24:D24 B23:C23 D23 B58:D58 D44 C57:D57 C49:D49 C59:D59 B52:D53 C51:D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5" zoomScaleNormal="85" zoomScalePageLayoutView="0" workbookViewId="0" topLeftCell="A1">
      <selection activeCell="A5" sqref="A5:G5"/>
    </sheetView>
  </sheetViews>
  <sheetFormatPr defaultColWidth="1.1484375" defaultRowHeight="15" zeroHeight="1"/>
  <cols>
    <col min="1" max="1" width="91.00390625" style="0" customWidth="1"/>
    <col min="2" max="2" width="22.57421875" style="0" customWidth="1"/>
    <col min="3" max="7" width="20.7109375" style="0" customWidth="1"/>
    <col min="8" max="255" width="11.421875" style="0" customWidth="1"/>
  </cols>
  <sheetData>
    <row r="1" spans="1:7" ht="21">
      <c r="A1" s="167" t="s">
        <v>217</v>
      </c>
      <c r="B1" s="167"/>
      <c r="C1" s="167"/>
      <c r="D1" s="167"/>
      <c r="E1" s="167"/>
      <c r="F1" s="167"/>
      <c r="G1" s="167"/>
    </row>
    <row r="2" spans="1:7" ht="15">
      <c r="A2" s="148" t="s">
        <v>286</v>
      </c>
      <c r="B2" s="149"/>
      <c r="C2" s="149"/>
      <c r="D2" s="149"/>
      <c r="E2" s="149"/>
      <c r="F2" s="149"/>
      <c r="G2" s="150"/>
    </row>
    <row r="3" spans="1:7" ht="15">
      <c r="A3" s="151" t="s">
        <v>218</v>
      </c>
      <c r="B3" s="152"/>
      <c r="C3" s="152"/>
      <c r="D3" s="152"/>
      <c r="E3" s="152"/>
      <c r="F3" s="152"/>
      <c r="G3" s="153"/>
    </row>
    <row r="4" spans="1:7" ht="15">
      <c r="A4" s="154" t="s">
        <v>481</v>
      </c>
      <c r="B4" s="155"/>
      <c r="C4" s="155"/>
      <c r="D4" s="155"/>
      <c r="E4" s="155"/>
      <c r="F4" s="155"/>
      <c r="G4" s="156"/>
    </row>
    <row r="5" spans="1:7" ht="15">
      <c r="A5" s="157" t="s">
        <v>2</v>
      </c>
      <c r="B5" s="158"/>
      <c r="C5" s="158"/>
      <c r="D5" s="158"/>
      <c r="E5" s="158"/>
      <c r="F5" s="158"/>
      <c r="G5" s="159"/>
    </row>
    <row r="6" spans="1:7" ht="15">
      <c r="A6" s="164" t="s">
        <v>219</v>
      </c>
      <c r="B6" s="166" t="s">
        <v>220</v>
      </c>
      <c r="C6" s="166"/>
      <c r="D6" s="166"/>
      <c r="E6" s="166"/>
      <c r="F6" s="166"/>
      <c r="G6" s="166" t="s">
        <v>221</v>
      </c>
    </row>
    <row r="7" spans="1:7" ht="30">
      <c r="A7" s="165"/>
      <c r="B7" s="17" t="s">
        <v>222</v>
      </c>
      <c r="C7" s="6" t="s">
        <v>223</v>
      </c>
      <c r="D7" s="17" t="s">
        <v>224</v>
      </c>
      <c r="E7" s="17" t="s">
        <v>182</v>
      </c>
      <c r="F7" s="17" t="s">
        <v>225</v>
      </c>
      <c r="G7" s="166"/>
    </row>
    <row r="8" spans="1:7" ht="15">
      <c r="A8" s="130" t="s">
        <v>226</v>
      </c>
      <c r="B8" s="34"/>
      <c r="C8" s="34"/>
      <c r="D8" s="34"/>
      <c r="E8" s="34"/>
      <c r="F8" s="34"/>
      <c r="G8" s="34"/>
    </row>
    <row r="9" spans="1:7" ht="15">
      <c r="A9" s="20" t="s">
        <v>227</v>
      </c>
      <c r="B9" s="75">
        <v>1893614492</v>
      </c>
      <c r="C9" s="75">
        <v>0</v>
      </c>
      <c r="D9" s="116">
        <f>+B9+C9</f>
        <v>1893614492</v>
      </c>
      <c r="E9" s="75">
        <v>707043917</v>
      </c>
      <c r="F9" s="75">
        <v>707043917</v>
      </c>
      <c r="G9" s="75">
        <f>+F9-B9</f>
        <v>-1186570575</v>
      </c>
    </row>
    <row r="10" spans="1:7" ht="15">
      <c r="A10" s="20" t="s">
        <v>228</v>
      </c>
      <c r="B10" s="75">
        <v>0</v>
      </c>
      <c r="C10" s="75">
        <v>0</v>
      </c>
      <c r="D10" s="116">
        <f aca="true" t="shared" si="0" ref="D10:D16">+B10+C10</f>
        <v>0</v>
      </c>
      <c r="E10" s="75">
        <v>0</v>
      </c>
      <c r="F10" s="75">
        <v>0</v>
      </c>
      <c r="G10" s="75">
        <f aca="true" t="shared" si="1" ref="G10:G15">+F10-B10</f>
        <v>0</v>
      </c>
    </row>
    <row r="11" spans="1:7" ht="15">
      <c r="A11" s="20" t="s">
        <v>229</v>
      </c>
      <c r="B11" s="75">
        <v>0</v>
      </c>
      <c r="C11" s="75">
        <v>0</v>
      </c>
      <c r="D11" s="116">
        <f t="shared" si="0"/>
        <v>0</v>
      </c>
      <c r="E11" s="75">
        <v>0</v>
      </c>
      <c r="F11" s="75">
        <v>0</v>
      </c>
      <c r="G11" s="75">
        <f t="shared" si="1"/>
        <v>0</v>
      </c>
    </row>
    <row r="12" spans="1:7" ht="15">
      <c r="A12" s="20" t="s">
        <v>230</v>
      </c>
      <c r="B12" s="75">
        <v>647263162</v>
      </c>
      <c r="C12" s="75">
        <v>0</v>
      </c>
      <c r="D12" s="116">
        <f t="shared" si="0"/>
        <v>647263162</v>
      </c>
      <c r="E12" s="75">
        <v>230187199.7</v>
      </c>
      <c r="F12" s="75">
        <v>230185313.7</v>
      </c>
      <c r="G12" s="75">
        <f t="shared" si="1"/>
        <v>-417077848.3</v>
      </c>
    </row>
    <row r="13" spans="1:7" ht="15">
      <c r="A13" s="20" t="s">
        <v>231</v>
      </c>
      <c r="B13" s="75">
        <v>101603103</v>
      </c>
      <c r="C13" s="75">
        <v>47174983.69</v>
      </c>
      <c r="D13" s="116">
        <f t="shared" si="0"/>
        <v>148778086.69</v>
      </c>
      <c r="E13" s="75">
        <v>148735276</v>
      </c>
      <c r="F13" s="75">
        <v>148735276</v>
      </c>
      <c r="G13" s="75">
        <f t="shared" si="1"/>
        <v>47132173</v>
      </c>
    </row>
    <row r="14" spans="1:7" ht="15">
      <c r="A14" s="20" t="s">
        <v>232</v>
      </c>
      <c r="B14" s="75">
        <v>25128725</v>
      </c>
      <c r="C14" s="75">
        <v>12271152.29</v>
      </c>
      <c r="D14" s="116">
        <f t="shared" si="0"/>
        <v>37399877.29</v>
      </c>
      <c r="E14" s="75">
        <v>37000028.38</v>
      </c>
      <c r="F14" s="75">
        <v>36991065.38</v>
      </c>
      <c r="G14" s="75">
        <f t="shared" si="1"/>
        <v>11862340.380000003</v>
      </c>
    </row>
    <row r="15" spans="1:7" ht="15">
      <c r="A15" s="20" t="s">
        <v>233</v>
      </c>
      <c r="B15" s="75">
        <v>0</v>
      </c>
      <c r="C15" s="75">
        <v>0</v>
      </c>
      <c r="D15" s="116">
        <f t="shared" si="0"/>
        <v>0</v>
      </c>
      <c r="E15" s="75">
        <v>0</v>
      </c>
      <c r="F15" s="75">
        <v>0</v>
      </c>
      <c r="G15" s="75">
        <f t="shared" si="1"/>
        <v>0</v>
      </c>
    </row>
    <row r="16" spans="1:7" ht="15">
      <c r="A16" s="22" t="s">
        <v>234</v>
      </c>
      <c r="B16" s="75">
        <f>SUM(B17:B27)</f>
        <v>9792761753</v>
      </c>
      <c r="C16" s="116">
        <f>SUM(C17:C27)</f>
        <v>227838652</v>
      </c>
      <c r="D16" s="116">
        <f t="shared" si="0"/>
        <v>10020600405</v>
      </c>
      <c r="E16" s="116">
        <f>SUM(E17:E27)</f>
        <v>2726576339</v>
      </c>
      <c r="F16" s="75">
        <f>SUM(F17:F27)</f>
        <v>2726576339</v>
      </c>
      <c r="G16" s="75">
        <f>SUM(G17:G27)</f>
        <v>-7066185414</v>
      </c>
    </row>
    <row r="17" spans="1:7" ht="15">
      <c r="A17" s="66" t="s">
        <v>235</v>
      </c>
      <c r="B17" s="73">
        <v>6703817387</v>
      </c>
      <c r="C17" s="73">
        <v>104829617</v>
      </c>
      <c r="D17" s="117">
        <f>+B17+C17</f>
        <v>6808647004</v>
      </c>
      <c r="E17" s="73">
        <v>1899241966</v>
      </c>
      <c r="F17" s="73">
        <v>1899241966</v>
      </c>
      <c r="G17" s="73">
        <f>+F17-B17</f>
        <v>-4804575421</v>
      </c>
    </row>
    <row r="18" spans="1:7" ht="15">
      <c r="A18" s="66" t="s">
        <v>236</v>
      </c>
      <c r="B18" s="73">
        <v>448033348</v>
      </c>
      <c r="C18" s="73">
        <v>2849646</v>
      </c>
      <c r="D18" s="117">
        <f aca="true" t="shared" si="2" ref="D18:D39">+B18+C18</f>
        <v>450882994</v>
      </c>
      <c r="E18" s="73">
        <v>122600822</v>
      </c>
      <c r="F18" s="73">
        <v>122600822</v>
      </c>
      <c r="G18" s="73">
        <f aca="true" t="shared" si="3" ref="G18:G33">+F18-B18</f>
        <v>-325432526</v>
      </c>
    </row>
    <row r="19" spans="1:7" ht="15">
      <c r="A19" s="66" t="s">
        <v>237</v>
      </c>
      <c r="B19" s="73">
        <v>316217342</v>
      </c>
      <c r="C19" s="73">
        <v>1011565</v>
      </c>
      <c r="D19" s="117">
        <f t="shared" si="2"/>
        <v>317228907</v>
      </c>
      <c r="E19" s="73">
        <v>76476573</v>
      </c>
      <c r="F19" s="73">
        <v>76476573</v>
      </c>
      <c r="G19" s="73">
        <f t="shared" si="3"/>
        <v>-239740769</v>
      </c>
    </row>
    <row r="20" spans="1:7" ht="15">
      <c r="A20" s="66" t="s">
        <v>238</v>
      </c>
      <c r="B20" s="73">
        <v>0</v>
      </c>
      <c r="C20" s="73">
        <v>0</v>
      </c>
      <c r="D20" s="117">
        <f t="shared" si="2"/>
        <v>0</v>
      </c>
      <c r="E20" s="73">
        <v>0</v>
      </c>
      <c r="F20" s="73">
        <v>0</v>
      </c>
      <c r="G20" s="73">
        <f t="shared" si="3"/>
        <v>0</v>
      </c>
    </row>
    <row r="21" spans="1:7" ht="15">
      <c r="A21" s="66" t="s">
        <v>239</v>
      </c>
      <c r="B21" s="73">
        <v>1230938185</v>
      </c>
      <c r="C21" s="73">
        <v>0</v>
      </c>
      <c r="D21" s="117">
        <f t="shared" si="2"/>
        <v>1230938185</v>
      </c>
      <c r="E21" s="73">
        <v>356677774</v>
      </c>
      <c r="F21" s="73">
        <v>356677774</v>
      </c>
      <c r="G21" s="73">
        <f t="shared" si="3"/>
        <v>-874260411</v>
      </c>
    </row>
    <row r="22" spans="1:7" ht="15">
      <c r="A22" s="66" t="s">
        <v>240</v>
      </c>
      <c r="B22" s="73">
        <v>56665151</v>
      </c>
      <c r="C22" s="73">
        <v>789891</v>
      </c>
      <c r="D22" s="117">
        <f t="shared" si="2"/>
        <v>57455042</v>
      </c>
      <c r="E22" s="73">
        <v>13363590</v>
      </c>
      <c r="F22" s="73">
        <v>13363590</v>
      </c>
      <c r="G22" s="73">
        <f t="shared" si="3"/>
        <v>-43301561</v>
      </c>
    </row>
    <row r="23" spans="1:7" ht="15">
      <c r="A23" s="66" t="s">
        <v>241</v>
      </c>
      <c r="B23" s="73">
        <v>0</v>
      </c>
      <c r="C23" s="73">
        <v>0</v>
      </c>
      <c r="D23" s="117">
        <f>+B23+C23</f>
        <v>0</v>
      </c>
      <c r="E23" s="73">
        <v>0</v>
      </c>
      <c r="F23" s="73">
        <v>0</v>
      </c>
      <c r="G23" s="73">
        <f t="shared" si="3"/>
        <v>0</v>
      </c>
    </row>
    <row r="24" spans="1:7" ht="15">
      <c r="A24" s="66" t="s">
        <v>242</v>
      </c>
      <c r="B24" s="73">
        <v>0</v>
      </c>
      <c r="C24" s="73">
        <v>0</v>
      </c>
      <c r="D24" s="117">
        <f t="shared" si="2"/>
        <v>0</v>
      </c>
      <c r="E24" s="73">
        <v>0</v>
      </c>
      <c r="F24" s="73">
        <v>0</v>
      </c>
      <c r="G24" s="73">
        <f t="shared" si="3"/>
        <v>0</v>
      </c>
    </row>
    <row r="25" spans="1:7" ht="15">
      <c r="A25" s="66" t="s">
        <v>243</v>
      </c>
      <c r="B25" s="73">
        <v>277890112</v>
      </c>
      <c r="C25" s="73">
        <v>-1</v>
      </c>
      <c r="D25" s="117">
        <f t="shared" si="2"/>
        <v>277890111</v>
      </c>
      <c r="E25" s="73">
        <v>54339146</v>
      </c>
      <c r="F25" s="73">
        <v>54339146</v>
      </c>
      <c r="G25" s="73">
        <f t="shared" si="3"/>
        <v>-223550966</v>
      </c>
    </row>
    <row r="26" spans="1:7" ht="15">
      <c r="A26" s="66" t="s">
        <v>244</v>
      </c>
      <c r="B26" s="73">
        <v>759200228</v>
      </c>
      <c r="C26" s="73">
        <v>118357934</v>
      </c>
      <c r="D26" s="117">
        <f t="shared" si="2"/>
        <v>877558162</v>
      </c>
      <c r="E26" s="73">
        <v>203876468</v>
      </c>
      <c r="F26" s="73">
        <v>203876468</v>
      </c>
      <c r="G26" s="73">
        <f t="shared" si="3"/>
        <v>-555323760</v>
      </c>
    </row>
    <row r="27" spans="1:7" ht="15">
      <c r="A27" s="66" t="s">
        <v>245</v>
      </c>
      <c r="B27" s="73">
        <v>0</v>
      </c>
      <c r="C27" s="73">
        <v>0</v>
      </c>
      <c r="D27" s="117">
        <f t="shared" si="2"/>
        <v>0</v>
      </c>
      <c r="E27" s="73">
        <v>0</v>
      </c>
      <c r="F27" s="73">
        <v>0</v>
      </c>
      <c r="G27" s="73">
        <f t="shared" si="3"/>
        <v>0</v>
      </c>
    </row>
    <row r="28" spans="1:7" ht="15">
      <c r="A28" s="20" t="s">
        <v>246</v>
      </c>
      <c r="B28" s="75">
        <f>SUM(B29:B33)</f>
        <v>182492211</v>
      </c>
      <c r="C28" s="75">
        <f>SUM(C29:C33)</f>
        <v>9208427</v>
      </c>
      <c r="D28" s="116">
        <f t="shared" si="2"/>
        <v>191700638</v>
      </c>
      <c r="E28" s="116">
        <f>SUM(E29:E33)</f>
        <v>87330986.21</v>
      </c>
      <c r="F28" s="75">
        <f>SUM(F29:F33)</f>
        <v>87330986.21</v>
      </c>
      <c r="G28" s="75">
        <f>SUM(G29:G33)</f>
        <v>-95161224.79</v>
      </c>
    </row>
    <row r="29" spans="1:7" ht="15">
      <c r="A29" s="66" t="s">
        <v>247</v>
      </c>
      <c r="B29" s="73">
        <v>0</v>
      </c>
      <c r="C29" s="73">
        <v>0</v>
      </c>
      <c r="D29" s="117">
        <f t="shared" si="2"/>
        <v>0</v>
      </c>
      <c r="E29" s="73">
        <v>0</v>
      </c>
      <c r="F29" s="73">
        <v>0</v>
      </c>
      <c r="G29" s="73">
        <f t="shared" si="3"/>
        <v>0</v>
      </c>
    </row>
    <row r="30" spans="1:7" ht="15">
      <c r="A30" s="66" t="s">
        <v>248</v>
      </c>
      <c r="B30" s="73">
        <v>16929082</v>
      </c>
      <c r="C30" s="73">
        <v>2</v>
      </c>
      <c r="D30" s="117">
        <f t="shared" si="2"/>
        <v>16929084</v>
      </c>
      <c r="E30" s="73">
        <v>4232271</v>
      </c>
      <c r="F30" s="73">
        <v>4232271</v>
      </c>
      <c r="G30" s="73">
        <f t="shared" si="3"/>
        <v>-12696811</v>
      </c>
    </row>
    <row r="31" spans="1:7" ht="15">
      <c r="A31" s="66" t="s">
        <v>249</v>
      </c>
      <c r="B31" s="73">
        <v>86964823</v>
      </c>
      <c r="C31" s="73">
        <v>9208425</v>
      </c>
      <c r="D31" s="117">
        <f t="shared" si="2"/>
        <v>96173248</v>
      </c>
      <c r="E31" s="73">
        <v>29197900</v>
      </c>
      <c r="F31" s="73">
        <v>29197900</v>
      </c>
      <c r="G31" s="73">
        <f t="shared" si="3"/>
        <v>-57766923</v>
      </c>
    </row>
    <row r="32" spans="1:7" ht="15">
      <c r="A32" s="66" t="s">
        <v>250</v>
      </c>
      <c r="B32" s="73">
        <v>7674542</v>
      </c>
      <c r="C32" s="73">
        <v>0</v>
      </c>
      <c r="D32" s="117">
        <f t="shared" si="2"/>
        <v>7674542</v>
      </c>
      <c r="E32" s="73">
        <v>2169992</v>
      </c>
      <c r="F32" s="73">
        <v>2169992</v>
      </c>
      <c r="G32" s="73">
        <f t="shared" si="3"/>
        <v>-5504550</v>
      </c>
    </row>
    <row r="33" spans="1:7" ht="15">
      <c r="A33" s="66" t="s">
        <v>251</v>
      </c>
      <c r="B33" s="73">
        <v>70923764</v>
      </c>
      <c r="C33" s="73">
        <v>0</v>
      </c>
      <c r="D33" s="117">
        <f t="shared" si="2"/>
        <v>70923764</v>
      </c>
      <c r="E33" s="73">
        <v>51730823.20999999</v>
      </c>
      <c r="F33" s="73">
        <v>51730823.20999999</v>
      </c>
      <c r="G33" s="73">
        <f t="shared" si="3"/>
        <v>-19192940.790000007</v>
      </c>
    </row>
    <row r="34" spans="1:7" ht="15">
      <c r="A34" s="20" t="s">
        <v>466</v>
      </c>
      <c r="B34" s="75">
        <v>0</v>
      </c>
      <c r="C34" s="75">
        <v>0</v>
      </c>
      <c r="D34" s="117">
        <f t="shared" si="2"/>
        <v>0</v>
      </c>
      <c r="E34" s="75">
        <v>0</v>
      </c>
      <c r="F34" s="75">
        <v>0</v>
      </c>
      <c r="G34" s="75">
        <f>F34-B34</f>
        <v>0</v>
      </c>
    </row>
    <row r="35" spans="1:7" ht="15">
      <c r="A35" s="20" t="s">
        <v>252</v>
      </c>
      <c r="B35" s="75">
        <v>0</v>
      </c>
      <c r="C35" s="116">
        <f>+C36</f>
        <v>341581</v>
      </c>
      <c r="D35" s="116">
        <f t="shared" si="2"/>
        <v>341581</v>
      </c>
      <c r="E35" s="116">
        <f>+E36</f>
        <v>341581</v>
      </c>
      <c r="F35" s="116">
        <f>+F36</f>
        <v>341581</v>
      </c>
      <c r="G35" s="75">
        <f>G36</f>
        <v>341581</v>
      </c>
    </row>
    <row r="36" spans="1:7" ht="15">
      <c r="A36" s="66" t="s">
        <v>253</v>
      </c>
      <c r="B36" s="73">
        <v>0</v>
      </c>
      <c r="C36" s="73">
        <v>341581</v>
      </c>
      <c r="D36" s="117">
        <f t="shared" si="2"/>
        <v>341581</v>
      </c>
      <c r="E36" s="73">
        <v>341581</v>
      </c>
      <c r="F36" s="73">
        <v>341581</v>
      </c>
      <c r="G36" s="73">
        <f>+F36-B36</f>
        <v>341581</v>
      </c>
    </row>
    <row r="37" spans="1:7" ht="15">
      <c r="A37" s="20" t="s">
        <v>254</v>
      </c>
      <c r="B37" s="75">
        <v>0</v>
      </c>
      <c r="C37" s="75">
        <v>0</v>
      </c>
      <c r="D37" s="116">
        <f t="shared" si="2"/>
        <v>0</v>
      </c>
      <c r="E37" s="75">
        <v>0</v>
      </c>
      <c r="F37" s="75">
        <v>0</v>
      </c>
      <c r="G37" s="75">
        <f>G38+G39</f>
        <v>0</v>
      </c>
    </row>
    <row r="38" spans="1:7" ht="15">
      <c r="A38" s="66" t="s">
        <v>255</v>
      </c>
      <c r="B38" s="73">
        <v>0</v>
      </c>
      <c r="C38" s="73">
        <v>0</v>
      </c>
      <c r="D38" s="117">
        <f t="shared" si="2"/>
        <v>0</v>
      </c>
      <c r="E38" s="73">
        <v>0</v>
      </c>
      <c r="F38" s="73">
        <v>0</v>
      </c>
      <c r="G38" s="73">
        <f>+F38-B38</f>
        <v>0</v>
      </c>
    </row>
    <row r="39" spans="1:7" ht="15">
      <c r="A39" s="66" t="s">
        <v>256</v>
      </c>
      <c r="B39" s="73">
        <v>0</v>
      </c>
      <c r="C39" s="73">
        <v>0</v>
      </c>
      <c r="D39" s="117">
        <f t="shared" si="2"/>
        <v>0</v>
      </c>
      <c r="E39" s="73">
        <v>0</v>
      </c>
      <c r="F39" s="73">
        <v>0</v>
      </c>
      <c r="G39" s="73">
        <f>+F39-B39</f>
        <v>0</v>
      </c>
    </row>
    <row r="40" spans="1:7" ht="15">
      <c r="A40" s="29"/>
      <c r="B40" s="73"/>
      <c r="C40" s="73"/>
      <c r="D40" s="73"/>
      <c r="E40" s="73"/>
      <c r="F40" s="73"/>
      <c r="G40" s="73"/>
    </row>
    <row r="41" spans="1:7" ht="15">
      <c r="A41" s="128" t="s">
        <v>257</v>
      </c>
      <c r="B41" s="75">
        <f aca="true" t="shared" si="4" ref="B41:G41">SUM(B9,B10,B11,B12,B13,B14,B15,B16,B28,B34,B35,B37)</f>
        <v>12642863446</v>
      </c>
      <c r="C41" s="75">
        <f t="shared" si="4"/>
        <v>296834795.98</v>
      </c>
      <c r="D41" s="75">
        <f t="shared" si="4"/>
        <v>12939698241.98</v>
      </c>
      <c r="E41" s="75">
        <f t="shared" si="4"/>
        <v>3937215327.29</v>
      </c>
      <c r="F41" s="75">
        <f t="shared" si="4"/>
        <v>3937204478.29</v>
      </c>
      <c r="G41" s="75">
        <f t="shared" si="4"/>
        <v>-8705658967.710001</v>
      </c>
    </row>
    <row r="42" spans="1:7" ht="15">
      <c r="A42" s="128" t="s">
        <v>258</v>
      </c>
      <c r="B42" s="86"/>
      <c r="C42" s="86"/>
      <c r="D42" s="86"/>
      <c r="E42" s="86"/>
      <c r="F42" s="86"/>
      <c r="G42" s="82">
        <f>IF(G41&gt;0,G41,0)</f>
        <v>0</v>
      </c>
    </row>
    <row r="43" spans="1:7" ht="15">
      <c r="A43" s="29"/>
      <c r="B43" s="74"/>
      <c r="C43" s="74"/>
      <c r="D43" s="74"/>
      <c r="E43" s="74"/>
      <c r="F43" s="74"/>
      <c r="G43" s="74"/>
    </row>
    <row r="44" spans="1:7" ht="15">
      <c r="A44" s="128" t="s">
        <v>259</v>
      </c>
      <c r="B44" s="74"/>
      <c r="C44" s="74"/>
      <c r="D44" s="74"/>
      <c r="E44" s="74"/>
      <c r="F44" s="74"/>
      <c r="G44" s="74"/>
    </row>
    <row r="45" spans="1:7" ht="15">
      <c r="A45" s="52" t="s">
        <v>260</v>
      </c>
      <c r="B45" s="116">
        <f>SUM(B46:B53)</f>
        <v>11413267517</v>
      </c>
      <c r="C45" s="116">
        <f>SUM(C46:C53)</f>
        <v>-74073230</v>
      </c>
      <c r="D45" s="75">
        <f>SUM(D46:D53)</f>
        <v>11339194287</v>
      </c>
      <c r="E45" s="75">
        <f>SUM(E46:E53)</f>
        <v>2711010340.14</v>
      </c>
      <c r="F45" s="75">
        <f>SUM(F46:F53)</f>
        <v>2711010340.14</v>
      </c>
      <c r="G45" s="116">
        <f>+F45-B45</f>
        <v>-8702257176.86</v>
      </c>
    </row>
    <row r="46" spans="1:7" ht="15">
      <c r="A46" s="132" t="s">
        <v>261</v>
      </c>
      <c r="B46" s="73">
        <v>5613572245</v>
      </c>
      <c r="C46" s="73">
        <v>0</v>
      </c>
      <c r="D46" s="73">
        <f>+B46+C46</f>
        <v>5613572245</v>
      </c>
      <c r="E46" s="73">
        <v>1285836889.21</v>
      </c>
      <c r="F46" s="73">
        <v>1285836889.21</v>
      </c>
      <c r="G46" s="116">
        <f aca="true" t="shared" si="5" ref="G46:G75">+F46-B46</f>
        <v>-4327735355.79</v>
      </c>
    </row>
    <row r="47" spans="1:7" ht="15">
      <c r="A47" s="132" t="s">
        <v>262</v>
      </c>
      <c r="B47" s="73">
        <v>2216291476</v>
      </c>
      <c r="C47" s="73">
        <v>0</v>
      </c>
      <c r="D47" s="113">
        <f aca="true" t="shared" si="6" ref="D47:D58">+B47+C47</f>
        <v>2216291476</v>
      </c>
      <c r="E47" s="73">
        <v>464600035.92999995</v>
      </c>
      <c r="F47" s="73">
        <v>464600035.92999995</v>
      </c>
      <c r="G47" s="75">
        <f t="shared" si="5"/>
        <v>-1751691440.0700002</v>
      </c>
    </row>
    <row r="48" spans="1:7" ht="15">
      <c r="A48" s="132" t="s">
        <v>263</v>
      </c>
      <c r="B48" s="73">
        <v>1454187339</v>
      </c>
      <c r="C48" s="73">
        <v>-79048528</v>
      </c>
      <c r="D48" s="113">
        <f t="shared" si="6"/>
        <v>1375138811</v>
      </c>
      <c r="E48" s="73">
        <v>412541643</v>
      </c>
      <c r="F48" s="73">
        <v>412541643</v>
      </c>
      <c r="G48" s="75">
        <f t="shared" si="5"/>
        <v>-1041645696</v>
      </c>
    </row>
    <row r="49" spans="1:7" ht="30">
      <c r="A49" s="132" t="s">
        <v>264</v>
      </c>
      <c r="B49" s="73">
        <v>845407131</v>
      </c>
      <c r="C49" s="73">
        <v>2080343</v>
      </c>
      <c r="D49" s="113">
        <f t="shared" si="6"/>
        <v>847487474</v>
      </c>
      <c r="E49" s="73">
        <v>211871868</v>
      </c>
      <c r="F49" s="73">
        <v>211871868</v>
      </c>
      <c r="G49" s="75">
        <f t="shared" si="5"/>
        <v>-633535263</v>
      </c>
    </row>
    <row r="50" spans="1:7" ht="15">
      <c r="A50" s="132" t="s">
        <v>265</v>
      </c>
      <c r="B50" s="73">
        <v>616125225</v>
      </c>
      <c r="C50" s="73">
        <v>-21782945</v>
      </c>
      <c r="D50" s="113">
        <f t="shared" si="6"/>
        <v>594342280</v>
      </c>
      <c r="E50" s="73">
        <v>148585570</v>
      </c>
      <c r="F50" s="73">
        <v>148585570</v>
      </c>
      <c r="G50" s="75">
        <f t="shared" si="5"/>
        <v>-467539655</v>
      </c>
    </row>
    <row r="51" spans="1:7" ht="15">
      <c r="A51" s="132" t="s">
        <v>266</v>
      </c>
      <c r="B51" s="73">
        <v>138087651</v>
      </c>
      <c r="C51" s="73">
        <v>0</v>
      </c>
      <c r="D51" s="113">
        <f t="shared" si="6"/>
        <v>138087651</v>
      </c>
      <c r="E51" s="73">
        <v>37697883</v>
      </c>
      <c r="F51" s="73">
        <v>37697883</v>
      </c>
      <c r="G51" s="75">
        <f t="shared" si="5"/>
        <v>-100389768</v>
      </c>
    </row>
    <row r="52" spans="1:7" ht="29.25" customHeight="1">
      <c r="A52" s="133" t="s">
        <v>267</v>
      </c>
      <c r="B52" s="73">
        <v>215746053</v>
      </c>
      <c r="C52" s="73">
        <v>10411235</v>
      </c>
      <c r="D52" s="113">
        <f t="shared" si="6"/>
        <v>226157288</v>
      </c>
      <c r="E52" s="73">
        <v>67847184</v>
      </c>
      <c r="F52" s="73">
        <v>67847184</v>
      </c>
      <c r="G52" s="75">
        <f t="shared" si="5"/>
        <v>-147898869</v>
      </c>
    </row>
    <row r="53" spans="1:7" ht="27.75" customHeight="1">
      <c r="A53" s="132" t="s">
        <v>268</v>
      </c>
      <c r="B53" s="73">
        <v>313850397</v>
      </c>
      <c r="C53" s="73">
        <v>14266665</v>
      </c>
      <c r="D53" s="113">
        <f t="shared" si="6"/>
        <v>328117062</v>
      </c>
      <c r="E53" s="73">
        <v>82029267</v>
      </c>
      <c r="F53" s="73">
        <v>82029267</v>
      </c>
      <c r="G53" s="75">
        <f t="shared" si="5"/>
        <v>-231821130</v>
      </c>
    </row>
    <row r="54" spans="1:7" ht="15">
      <c r="A54" s="52" t="s">
        <v>269</v>
      </c>
      <c r="B54" s="116">
        <f>SUM(B55:B58)</f>
        <v>1205989816</v>
      </c>
      <c r="C54" s="116">
        <f>SUM(C55:C58)</f>
        <v>594384237.25</v>
      </c>
      <c r="D54" s="75">
        <f>+B54+C54</f>
        <v>1800374053.25</v>
      </c>
      <c r="E54" s="75">
        <f>SUM(E55:E58)</f>
        <v>520734080.49</v>
      </c>
      <c r="F54" s="75">
        <f>SUM(F55:F58)</f>
        <v>520734080.49</v>
      </c>
      <c r="G54" s="75">
        <f t="shared" si="5"/>
        <v>-685255735.51</v>
      </c>
    </row>
    <row r="55" spans="1:7" ht="15">
      <c r="A55" s="133" t="s">
        <v>270</v>
      </c>
      <c r="B55" s="73">
        <v>0</v>
      </c>
      <c r="C55" s="73">
        <v>0</v>
      </c>
      <c r="D55" s="113">
        <f t="shared" si="6"/>
        <v>0</v>
      </c>
      <c r="E55" s="73">
        <v>0</v>
      </c>
      <c r="F55" s="73">
        <v>0</v>
      </c>
      <c r="G55" s="75">
        <f t="shared" si="5"/>
        <v>0</v>
      </c>
    </row>
    <row r="56" spans="1:7" ht="15">
      <c r="A56" s="132" t="s">
        <v>271</v>
      </c>
      <c r="B56" s="73">
        <v>1205989816</v>
      </c>
      <c r="C56" s="73">
        <v>594384237.25</v>
      </c>
      <c r="D56" s="113">
        <f t="shared" si="6"/>
        <v>1800374053.25</v>
      </c>
      <c r="E56" s="73">
        <v>520734080.49</v>
      </c>
      <c r="F56" s="73">
        <v>520734080.49</v>
      </c>
      <c r="G56" s="75">
        <f t="shared" si="5"/>
        <v>-685255735.51</v>
      </c>
    </row>
    <row r="57" spans="1:7" ht="15">
      <c r="A57" s="132" t="s">
        <v>272</v>
      </c>
      <c r="B57" s="73">
        <v>0</v>
      </c>
      <c r="C57" s="73">
        <v>0</v>
      </c>
      <c r="D57" s="113">
        <f t="shared" si="6"/>
        <v>0</v>
      </c>
      <c r="E57" s="73">
        <v>0</v>
      </c>
      <c r="F57" s="73">
        <v>0</v>
      </c>
      <c r="G57" s="75">
        <f t="shared" si="5"/>
        <v>0</v>
      </c>
    </row>
    <row r="58" spans="1:7" ht="15">
      <c r="A58" s="133" t="s">
        <v>273</v>
      </c>
      <c r="B58" s="73">
        <v>0</v>
      </c>
      <c r="C58" s="73">
        <v>0</v>
      </c>
      <c r="D58" s="113">
        <f t="shared" si="6"/>
        <v>0</v>
      </c>
      <c r="E58" s="73">
        <v>0</v>
      </c>
      <c r="F58" s="73">
        <v>0</v>
      </c>
      <c r="G58" s="75">
        <f t="shared" si="5"/>
        <v>0</v>
      </c>
    </row>
    <row r="59" spans="1:7" ht="15">
      <c r="A59" s="52" t="s">
        <v>274</v>
      </c>
      <c r="B59" s="75">
        <f>SUM(B60:B61)</f>
        <v>511510962</v>
      </c>
      <c r="C59" s="75">
        <f>SUM(C60:C61)</f>
        <v>0</v>
      </c>
      <c r="D59" s="75">
        <f>SUM(D60:D61)</f>
        <v>511510962</v>
      </c>
      <c r="E59" s="75">
        <f>SUM(E60:E61)</f>
        <v>136656396.59</v>
      </c>
      <c r="F59" s="75">
        <f>+F60+F61</f>
        <v>136656396.59</v>
      </c>
      <c r="G59" s="75">
        <f t="shared" si="5"/>
        <v>-374854565.40999997</v>
      </c>
    </row>
    <row r="60" spans="1:7" ht="15">
      <c r="A60" s="132" t="s">
        <v>275</v>
      </c>
      <c r="B60" s="73">
        <v>511510962</v>
      </c>
      <c r="C60" s="73">
        <v>0</v>
      </c>
      <c r="D60" s="73">
        <f>+B60+C60</f>
        <v>511510962</v>
      </c>
      <c r="E60" s="73">
        <v>136656396.59</v>
      </c>
      <c r="F60" s="73">
        <v>136656396.59</v>
      </c>
      <c r="G60" s="75">
        <f t="shared" si="5"/>
        <v>-374854565.40999997</v>
      </c>
    </row>
    <row r="61" spans="1:7" ht="15">
      <c r="A61" s="132" t="s">
        <v>276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5">
        <f t="shared" si="5"/>
        <v>0</v>
      </c>
    </row>
    <row r="62" spans="1:7" ht="15">
      <c r="A62" s="52" t="s">
        <v>467</v>
      </c>
      <c r="B62" s="75">
        <v>0</v>
      </c>
      <c r="C62" s="75">
        <v>0</v>
      </c>
      <c r="D62" s="75">
        <v>0</v>
      </c>
      <c r="E62" s="75">
        <v>0</v>
      </c>
      <c r="F62" s="75">
        <v>0</v>
      </c>
      <c r="G62" s="75">
        <f t="shared" si="5"/>
        <v>0</v>
      </c>
    </row>
    <row r="63" spans="1:7" ht="15">
      <c r="A63" s="52" t="s">
        <v>277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f t="shared" si="5"/>
        <v>0</v>
      </c>
    </row>
    <row r="64" spans="1:7" ht="15">
      <c r="A64" s="29"/>
      <c r="B64" s="74"/>
      <c r="C64" s="74"/>
      <c r="D64" s="74"/>
      <c r="E64" s="74"/>
      <c r="F64" s="74"/>
      <c r="G64" s="75"/>
    </row>
    <row r="65" spans="1:7" ht="15">
      <c r="A65" s="128" t="s">
        <v>278</v>
      </c>
      <c r="B65" s="75">
        <f>B45+B54+B59+B62+B63</f>
        <v>13130768295</v>
      </c>
      <c r="C65" s="116">
        <f>C45+C54+C59+C62+C63</f>
        <v>520311007.25</v>
      </c>
      <c r="D65" s="75">
        <f>D45+D54+D59+D62+D63</f>
        <v>13651079302.25</v>
      </c>
      <c r="E65" s="75">
        <f>E45+E54+E59+E62+E63</f>
        <v>3368400817.2200003</v>
      </c>
      <c r="F65" s="75">
        <f>F45+F54+F59+F62+F63</f>
        <v>3368400817.2200003</v>
      </c>
      <c r="G65" s="75">
        <f>+F65-B65</f>
        <v>-9762367477.779999</v>
      </c>
    </row>
    <row r="66" spans="1:7" ht="15">
      <c r="A66" s="29"/>
      <c r="B66" s="74"/>
      <c r="C66" s="74"/>
      <c r="D66" s="74"/>
      <c r="E66" s="74"/>
      <c r="F66" s="74"/>
      <c r="G66" s="75"/>
    </row>
    <row r="67" spans="1:7" ht="15">
      <c r="A67" s="128" t="s">
        <v>279</v>
      </c>
      <c r="B67" s="75">
        <f>B68</f>
        <v>0</v>
      </c>
      <c r="C67" s="75">
        <f>C68</f>
        <v>0</v>
      </c>
      <c r="D67" s="75">
        <f>D68</f>
        <v>0</v>
      </c>
      <c r="E67" s="75">
        <f>E68</f>
        <v>0</v>
      </c>
      <c r="F67" s="75">
        <f>F68</f>
        <v>0</v>
      </c>
      <c r="G67" s="75">
        <f t="shared" si="5"/>
        <v>0</v>
      </c>
    </row>
    <row r="68" spans="1:7" ht="15">
      <c r="A68" s="131" t="s">
        <v>280</v>
      </c>
      <c r="B68" s="73">
        <v>0</v>
      </c>
      <c r="C68" s="73">
        <v>0</v>
      </c>
      <c r="D68" s="73">
        <f>+B68+C68</f>
        <v>0</v>
      </c>
      <c r="E68" s="73">
        <v>0</v>
      </c>
      <c r="F68" s="73">
        <v>0</v>
      </c>
      <c r="G68" s="75">
        <f t="shared" si="5"/>
        <v>0</v>
      </c>
    </row>
    <row r="69" spans="1:7" ht="15">
      <c r="A69" s="29"/>
      <c r="B69" s="74"/>
      <c r="C69" s="74"/>
      <c r="D69" s="74"/>
      <c r="E69" s="74"/>
      <c r="F69" s="74"/>
      <c r="G69" s="75"/>
    </row>
    <row r="70" spans="1:7" ht="15">
      <c r="A70" s="128" t="s">
        <v>281</v>
      </c>
      <c r="B70" s="75">
        <f>B41+B65+B67</f>
        <v>25773631741</v>
      </c>
      <c r="C70" s="75">
        <f>C41+C65+C67</f>
        <v>817145803.23</v>
      </c>
      <c r="D70" s="75">
        <f>D41+D65+D67</f>
        <v>26590777544.23</v>
      </c>
      <c r="E70" s="75">
        <f>E41+E65+E67</f>
        <v>7305616144.51</v>
      </c>
      <c r="F70" s="75">
        <f>F41+F65+F67</f>
        <v>7305605295.51</v>
      </c>
      <c r="G70" s="75">
        <f t="shared" si="5"/>
        <v>-18468026445.489998</v>
      </c>
    </row>
    <row r="71" spans="1:7" ht="15">
      <c r="A71" s="29"/>
      <c r="B71" s="74"/>
      <c r="C71" s="74"/>
      <c r="D71" s="74"/>
      <c r="E71" s="74"/>
      <c r="F71" s="74"/>
      <c r="G71" s="75"/>
    </row>
    <row r="72" spans="1:7" ht="15">
      <c r="A72" s="52" t="s">
        <v>282</v>
      </c>
      <c r="B72" s="74"/>
      <c r="C72" s="74"/>
      <c r="D72" s="74"/>
      <c r="E72" s="74"/>
      <c r="F72" s="74"/>
      <c r="G72" s="75"/>
    </row>
    <row r="73" spans="1:7" ht="15">
      <c r="A73" s="134" t="s">
        <v>283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5">
        <f t="shared" si="5"/>
        <v>0</v>
      </c>
    </row>
    <row r="74" spans="1:7" ht="30">
      <c r="A74" s="134" t="s">
        <v>284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5">
        <f t="shared" si="5"/>
        <v>0</v>
      </c>
    </row>
    <row r="75" spans="1:7" ht="15">
      <c r="A75" s="135" t="s">
        <v>285</v>
      </c>
      <c r="B75" s="75">
        <f>B73+B74</f>
        <v>0</v>
      </c>
      <c r="C75" s="75">
        <f>C73+C74</f>
        <v>0</v>
      </c>
      <c r="D75" s="75">
        <f>D73+D74</f>
        <v>0</v>
      </c>
      <c r="E75" s="75">
        <f>E73+E74</f>
        <v>0</v>
      </c>
      <c r="F75" s="75">
        <f>F73+F74</f>
        <v>0</v>
      </c>
      <c r="G75" s="75">
        <f t="shared" si="5"/>
        <v>0</v>
      </c>
    </row>
    <row r="76" spans="1:7" ht="15">
      <c r="A76" s="30"/>
      <c r="B76" s="35"/>
      <c r="C76" s="35"/>
      <c r="D76" s="35"/>
      <c r="E76" s="35"/>
      <c r="F76" s="35"/>
      <c r="G76" s="126"/>
    </row>
    <row r="77" ht="15"/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B9:F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orientation="portrait" scale="43" r:id="rId1"/>
  <ignoredErrors>
    <ignoredError sqref="C41 B65 B67:F67 B70:C70 B75:F75 G35:G36 G38:G39 G41:G42 D68 G9:G15 G17:G27 G29:G33 D65:G65 D41:E41 F41 F59 G47:G54 G55:G64 G68:G70 E70:F70 D70 D45 D46:D53 D55:D58 G66:G67 B16 G73:G76" unlockedFormula="1"/>
    <ignoredError sqref="G40 G37 G34 G28 G16 D60 D54 E45:F45 E54:F54 C59 F16 F28 B28:C28 B59 E59 D28 D59" formula="1" unlockedFormula="1"/>
    <ignoredError sqref="C54 E16 E28 B45" formulaRange="1"/>
    <ignoredError sqref="D35 D16" formula="1"/>
    <ignoredError sqref="E45:F45 E54:F54 C59 F16 F28 B28:C28 B59 E59" formulaRange="1" unlockedFormula="1"/>
    <ignoredError sqref="D28" formula="1" formulaRange="1"/>
    <ignoredError sqref="D59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="80" zoomScaleNormal="80" zoomScalePageLayoutView="0" workbookViewId="0" topLeftCell="A1">
      <selection activeCell="B158" sqref="B158"/>
    </sheetView>
  </sheetViews>
  <sheetFormatPr defaultColWidth="0.9921875" defaultRowHeight="15" zeroHeight="1"/>
  <cols>
    <col min="1" max="1" width="78.421875" style="0" customWidth="1"/>
    <col min="2" max="2" width="19.421875" style="0" customWidth="1"/>
    <col min="3" max="3" width="18.8515625" style="0" customWidth="1"/>
    <col min="4" max="4" width="19.28125" style="0" customWidth="1"/>
    <col min="5" max="5" width="19.140625" style="0" customWidth="1"/>
    <col min="6" max="6" width="19.28125" style="0" customWidth="1"/>
    <col min="7" max="7" width="17.57421875" style="0" customWidth="1"/>
    <col min="8" max="255" width="11.421875" style="0" hidden="1" customWidth="1"/>
  </cols>
  <sheetData>
    <row r="1" spans="1:7" ht="21">
      <c r="A1" s="170" t="s">
        <v>287</v>
      </c>
      <c r="B1" s="167"/>
      <c r="C1" s="167"/>
      <c r="D1" s="167"/>
      <c r="E1" s="167"/>
      <c r="F1" s="167"/>
      <c r="G1" s="167"/>
    </row>
    <row r="2" spans="1:7" ht="15">
      <c r="A2" s="171" t="s">
        <v>286</v>
      </c>
      <c r="B2" s="171"/>
      <c r="C2" s="171"/>
      <c r="D2" s="171"/>
      <c r="E2" s="171"/>
      <c r="F2" s="171"/>
      <c r="G2" s="171"/>
    </row>
    <row r="3" spans="1:7" ht="15">
      <c r="A3" s="172" t="s">
        <v>288</v>
      </c>
      <c r="B3" s="172"/>
      <c r="C3" s="172"/>
      <c r="D3" s="172"/>
      <c r="E3" s="172"/>
      <c r="F3" s="172"/>
      <c r="G3" s="172"/>
    </row>
    <row r="4" spans="1:7" ht="15">
      <c r="A4" s="172" t="s">
        <v>289</v>
      </c>
      <c r="B4" s="172"/>
      <c r="C4" s="172"/>
      <c r="D4" s="172"/>
      <c r="E4" s="172"/>
      <c r="F4" s="172"/>
      <c r="G4" s="172"/>
    </row>
    <row r="5" spans="1:7" ht="15">
      <c r="A5" s="154" t="s">
        <v>482</v>
      </c>
      <c r="B5" s="155"/>
      <c r="C5" s="155"/>
      <c r="D5" s="155"/>
      <c r="E5" s="155"/>
      <c r="F5" s="155"/>
      <c r="G5" s="156"/>
    </row>
    <row r="6" spans="1:7" ht="15">
      <c r="A6" s="165" t="s">
        <v>2</v>
      </c>
      <c r="B6" s="165"/>
      <c r="C6" s="165"/>
      <c r="D6" s="165"/>
      <c r="E6" s="165"/>
      <c r="F6" s="165"/>
      <c r="G6" s="165"/>
    </row>
    <row r="7" spans="1:7" ht="15">
      <c r="A7" s="168" t="s">
        <v>4</v>
      </c>
      <c r="B7" s="168" t="s">
        <v>290</v>
      </c>
      <c r="C7" s="168"/>
      <c r="D7" s="168"/>
      <c r="E7" s="168"/>
      <c r="F7" s="168"/>
      <c r="G7" s="169" t="s">
        <v>291</v>
      </c>
    </row>
    <row r="8" spans="1:7" ht="30">
      <c r="A8" s="168"/>
      <c r="B8" s="6" t="s">
        <v>292</v>
      </c>
      <c r="C8" s="6" t="s">
        <v>293</v>
      </c>
      <c r="D8" s="6" t="s">
        <v>294</v>
      </c>
      <c r="E8" s="6" t="s">
        <v>182</v>
      </c>
      <c r="F8" s="6" t="s">
        <v>295</v>
      </c>
      <c r="G8" s="168"/>
    </row>
    <row r="9" spans="1:7" ht="15">
      <c r="A9" s="130" t="s">
        <v>296</v>
      </c>
      <c r="B9" s="75">
        <f aca="true" t="shared" si="0" ref="B9:G9">SUM(B10,B18,B28,B38,B48,B58,B62,B70,B74)</f>
        <v>12642863446</v>
      </c>
      <c r="C9" s="75">
        <f t="shared" si="0"/>
        <v>656852938.14</v>
      </c>
      <c r="D9" s="75">
        <f t="shared" si="0"/>
        <v>13299716384.140001</v>
      </c>
      <c r="E9" s="75">
        <f t="shared" si="0"/>
        <v>3220217988.3300004</v>
      </c>
      <c r="F9" s="75">
        <f t="shared" si="0"/>
        <v>3204994510.28</v>
      </c>
      <c r="G9" s="75">
        <f t="shared" si="0"/>
        <v>10079498395.809998</v>
      </c>
    </row>
    <row r="10" spans="1:7" ht="15">
      <c r="A10" s="136" t="s">
        <v>297</v>
      </c>
      <c r="B10" s="73">
        <f aca="true" t="shared" si="1" ref="B10:G10">SUM(B11:B17)</f>
        <v>2446886211</v>
      </c>
      <c r="C10" s="117">
        <f>SUM(C11:C17)</f>
        <v>3003418.4100000006</v>
      </c>
      <c r="D10" s="73">
        <f t="shared" si="1"/>
        <v>2449889629.41</v>
      </c>
      <c r="E10" s="73">
        <f t="shared" si="1"/>
        <v>503012837.56</v>
      </c>
      <c r="F10" s="117">
        <f t="shared" si="1"/>
        <v>503012837.56</v>
      </c>
      <c r="G10" s="73">
        <f t="shared" si="1"/>
        <v>1946876791.8500001</v>
      </c>
    </row>
    <row r="11" spans="1:7" ht="15" customHeight="1">
      <c r="A11" s="131" t="s">
        <v>298</v>
      </c>
      <c r="B11" s="73">
        <v>1142474672</v>
      </c>
      <c r="C11" s="73">
        <v>-11735564.77</v>
      </c>
      <c r="D11" s="73">
        <v>1130739107.23</v>
      </c>
      <c r="E11" s="73">
        <v>295332512.65</v>
      </c>
      <c r="F11" s="113">
        <v>295332512.65</v>
      </c>
      <c r="G11" s="73">
        <f aca="true" t="shared" si="2" ref="G11:G17">D11-E11</f>
        <v>835406594.58</v>
      </c>
    </row>
    <row r="12" spans="1:7" ht="15" customHeight="1">
      <c r="A12" s="131" t="s">
        <v>299</v>
      </c>
      <c r="B12" s="73">
        <v>143025290</v>
      </c>
      <c r="C12" s="73">
        <v>5527654.77</v>
      </c>
      <c r="D12" s="73">
        <v>148552944.77</v>
      </c>
      <c r="E12" s="73">
        <v>7664662.89</v>
      </c>
      <c r="F12" s="113">
        <v>7664662.89</v>
      </c>
      <c r="G12" s="73">
        <f>D12-E12</f>
        <v>140888281.88000003</v>
      </c>
    </row>
    <row r="13" spans="1:7" ht="15" customHeight="1">
      <c r="A13" s="131" t="s">
        <v>300</v>
      </c>
      <c r="B13" s="73">
        <v>603351456</v>
      </c>
      <c r="C13" s="73">
        <v>3142586.74</v>
      </c>
      <c r="D13" s="73">
        <v>606494042.74</v>
      </c>
      <c r="E13" s="73">
        <v>66402653.92</v>
      </c>
      <c r="F13" s="113">
        <v>66402653.92</v>
      </c>
      <c r="G13" s="73">
        <f t="shared" si="2"/>
        <v>540091388.82</v>
      </c>
    </row>
    <row r="14" spans="1:7" ht="15" customHeight="1">
      <c r="A14" s="131" t="s">
        <v>301</v>
      </c>
      <c r="B14" s="73">
        <v>551893236</v>
      </c>
      <c r="C14" s="73">
        <v>-333538.96</v>
      </c>
      <c r="D14" s="73">
        <v>551559697.04</v>
      </c>
      <c r="E14" s="73">
        <v>126512112.62</v>
      </c>
      <c r="F14" s="113">
        <v>126512112.62</v>
      </c>
      <c r="G14" s="73">
        <f t="shared" si="2"/>
        <v>425047584.41999996</v>
      </c>
    </row>
    <row r="15" spans="1:7" ht="15">
      <c r="A15" s="131" t="s">
        <v>302</v>
      </c>
      <c r="B15" s="73">
        <v>0</v>
      </c>
      <c r="C15" s="73">
        <v>8143469.07</v>
      </c>
      <c r="D15" s="73">
        <v>8143469.07</v>
      </c>
      <c r="E15" s="73">
        <v>7100895.48</v>
      </c>
      <c r="F15" s="113">
        <v>7100895.48</v>
      </c>
      <c r="G15" s="73">
        <f t="shared" si="2"/>
        <v>1042573.5899999999</v>
      </c>
    </row>
    <row r="16" spans="1:7" ht="15">
      <c r="A16" s="131" t="s">
        <v>303</v>
      </c>
      <c r="B16" s="73">
        <v>6141557</v>
      </c>
      <c r="C16" s="73">
        <v>-1741188.44</v>
      </c>
      <c r="D16" s="73">
        <v>4400368.56</v>
      </c>
      <c r="E16" s="73">
        <v>0</v>
      </c>
      <c r="F16" s="73">
        <v>0</v>
      </c>
      <c r="G16" s="73">
        <f t="shared" si="2"/>
        <v>4400368.56</v>
      </c>
    </row>
    <row r="17" spans="1:7" ht="15">
      <c r="A17" s="131" t="s">
        <v>304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f t="shared" si="2"/>
        <v>0</v>
      </c>
    </row>
    <row r="18" spans="1:7" ht="15">
      <c r="A18" s="136" t="s">
        <v>305</v>
      </c>
      <c r="B18" s="73">
        <f aca="true" t="shared" si="3" ref="B18:G18">SUM(B19:B27)</f>
        <v>367380250</v>
      </c>
      <c r="C18" s="73">
        <f t="shared" si="3"/>
        <v>8352233.690000001</v>
      </c>
      <c r="D18" s="73">
        <f t="shared" si="3"/>
        <v>375732483.69000006</v>
      </c>
      <c r="E18" s="73">
        <f t="shared" si="3"/>
        <v>39887576.580000006</v>
      </c>
      <c r="F18" s="73">
        <f t="shared" si="3"/>
        <v>39887576.580000006</v>
      </c>
      <c r="G18" s="73">
        <f t="shared" si="3"/>
        <v>335844907.11</v>
      </c>
    </row>
    <row r="19" spans="1:7" ht="15">
      <c r="A19" s="131" t="s">
        <v>306</v>
      </c>
      <c r="B19" s="73">
        <v>106732356</v>
      </c>
      <c r="C19" s="73">
        <v>-17904821.67</v>
      </c>
      <c r="D19" s="73">
        <v>88827534.33</v>
      </c>
      <c r="E19" s="73">
        <v>3752521.78</v>
      </c>
      <c r="F19" s="113">
        <v>3752521.78</v>
      </c>
      <c r="G19" s="73">
        <f>D19-E19</f>
        <v>85075012.55</v>
      </c>
    </row>
    <row r="20" spans="1:7" ht="15">
      <c r="A20" s="131" t="s">
        <v>307</v>
      </c>
      <c r="B20" s="73">
        <v>62315514</v>
      </c>
      <c r="C20" s="73">
        <v>-880421.72</v>
      </c>
      <c r="D20" s="73">
        <v>61435092.28</v>
      </c>
      <c r="E20" s="73">
        <v>8653726.42</v>
      </c>
      <c r="F20" s="113">
        <v>8653726.42</v>
      </c>
      <c r="G20" s="73">
        <f aca="true" t="shared" si="4" ref="G20:G27">D20-E20</f>
        <v>52781365.86</v>
      </c>
    </row>
    <row r="21" spans="1:7" ht="15">
      <c r="A21" s="131" t="s">
        <v>308</v>
      </c>
      <c r="B21" s="73">
        <v>21300</v>
      </c>
      <c r="C21" s="73">
        <v>977666.75</v>
      </c>
      <c r="D21" s="73">
        <v>998966.75</v>
      </c>
      <c r="E21" s="73">
        <v>0</v>
      </c>
      <c r="F21" s="113">
        <v>0</v>
      </c>
      <c r="G21" s="73">
        <f t="shared" si="4"/>
        <v>998966.75</v>
      </c>
    </row>
    <row r="22" spans="1:7" ht="15">
      <c r="A22" s="131" t="s">
        <v>309</v>
      </c>
      <c r="B22" s="73">
        <v>4742951</v>
      </c>
      <c r="C22" s="73">
        <v>4139912.21</v>
      </c>
      <c r="D22" s="73">
        <v>8882863.21</v>
      </c>
      <c r="E22" s="73">
        <v>1130649.49</v>
      </c>
      <c r="F22" s="113">
        <v>1130649.49</v>
      </c>
      <c r="G22" s="73">
        <f t="shared" si="4"/>
        <v>7752213.720000001</v>
      </c>
    </row>
    <row r="23" spans="1:7" ht="15">
      <c r="A23" s="131" t="s">
        <v>310</v>
      </c>
      <c r="B23" s="73">
        <v>51001547</v>
      </c>
      <c r="C23" s="73">
        <v>-45045.94</v>
      </c>
      <c r="D23" s="73">
        <v>50956501.06</v>
      </c>
      <c r="E23" s="73">
        <v>2886861.26</v>
      </c>
      <c r="F23" s="113">
        <v>2886861.26</v>
      </c>
      <c r="G23" s="73">
        <f t="shared" si="4"/>
        <v>48069639.800000004</v>
      </c>
    </row>
    <row r="24" spans="1:7" ht="15">
      <c r="A24" s="131" t="s">
        <v>311</v>
      </c>
      <c r="B24" s="73">
        <v>98378435</v>
      </c>
      <c r="C24" s="73">
        <v>20479591.32</v>
      </c>
      <c r="D24" s="73">
        <v>118858026.32</v>
      </c>
      <c r="E24" s="73">
        <v>20212203.83</v>
      </c>
      <c r="F24" s="113">
        <v>20212203.83</v>
      </c>
      <c r="G24" s="73">
        <f t="shared" si="4"/>
        <v>98645822.49</v>
      </c>
    </row>
    <row r="25" spans="1:7" ht="15">
      <c r="A25" s="131" t="s">
        <v>312</v>
      </c>
      <c r="B25" s="73">
        <v>30420291</v>
      </c>
      <c r="C25" s="73">
        <v>564391.24</v>
      </c>
      <c r="D25" s="73">
        <v>30984682.24</v>
      </c>
      <c r="E25" s="73">
        <v>1277452.31</v>
      </c>
      <c r="F25" s="113">
        <v>1277452.31</v>
      </c>
      <c r="G25" s="73">
        <f t="shared" si="4"/>
        <v>29707229.93</v>
      </c>
    </row>
    <row r="26" spans="1:7" ht="15">
      <c r="A26" s="131" t="s">
        <v>313</v>
      </c>
      <c r="B26" s="73">
        <v>423628</v>
      </c>
      <c r="C26" s="73">
        <v>34330.81</v>
      </c>
      <c r="D26" s="73">
        <v>457958.81</v>
      </c>
      <c r="E26" s="73">
        <v>22330.81</v>
      </c>
      <c r="F26" s="113">
        <v>22330.81</v>
      </c>
      <c r="G26" s="73">
        <f t="shared" si="4"/>
        <v>435628</v>
      </c>
    </row>
    <row r="27" spans="1:7" ht="15">
      <c r="A27" s="131" t="s">
        <v>314</v>
      </c>
      <c r="B27" s="73">
        <v>13344228</v>
      </c>
      <c r="C27" s="73">
        <v>986630.69</v>
      </c>
      <c r="D27" s="73">
        <v>14330858.69</v>
      </c>
      <c r="E27" s="73">
        <v>1951830.68</v>
      </c>
      <c r="F27" s="113">
        <v>1951830.68</v>
      </c>
      <c r="G27" s="73">
        <f t="shared" si="4"/>
        <v>12379028.01</v>
      </c>
    </row>
    <row r="28" spans="1:7" ht="15">
      <c r="A28" s="136" t="s">
        <v>315</v>
      </c>
      <c r="B28" s="73">
        <f aca="true" t="shared" si="5" ref="B28:G28">SUM(B29:B37)</f>
        <v>1037512583</v>
      </c>
      <c r="C28" s="73">
        <f t="shared" si="5"/>
        <v>126255654.90000004</v>
      </c>
      <c r="D28" s="73">
        <f t="shared" si="5"/>
        <v>1163768237.8999999</v>
      </c>
      <c r="E28" s="73">
        <f t="shared" si="5"/>
        <v>270629600.2</v>
      </c>
      <c r="F28" s="73">
        <f t="shared" si="5"/>
        <v>265967655.82</v>
      </c>
      <c r="G28" s="73">
        <f t="shared" si="5"/>
        <v>893138637.7</v>
      </c>
    </row>
    <row r="29" spans="1:7" ht="15">
      <c r="A29" s="131" t="s">
        <v>316</v>
      </c>
      <c r="B29" s="73">
        <v>89609003</v>
      </c>
      <c r="C29" s="73">
        <v>85747665.36</v>
      </c>
      <c r="D29" s="73">
        <v>175356668.36</v>
      </c>
      <c r="E29" s="73">
        <v>102379188.14</v>
      </c>
      <c r="F29" s="113">
        <v>102379188.14</v>
      </c>
      <c r="G29" s="73">
        <f>D29-E29</f>
        <v>72977480.22000001</v>
      </c>
    </row>
    <row r="30" spans="1:7" ht="15">
      <c r="A30" s="131" t="s">
        <v>317</v>
      </c>
      <c r="B30" s="73">
        <v>199187588</v>
      </c>
      <c r="C30" s="73">
        <v>-35742564.72</v>
      </c>
      <c r="D30" s="73">
        <v>163445023.28</v>
      </c>
      <c r="E30" s="73">
        <v>16307269.8</v>
      </c>
      <c r="F30" s="113">
        <v>16307269.8</v>
      </c>
      <c r="G30" s="73">
        <f aca="true" t="shared" si="6" ref="G30:G37">D30-E30</f>
        <v>147137753.48</v>
      </c>
    </row>
    <row r="31" spans="1:7" ht="15">
      <c r="A31" s="131" t="s">
        <v>318</v>
      </c>
      <c r="B31" s="73">
        <v>215203573</v>
      </c>
      <c r="C31" s="73">
        <v>46064615.13</v>
      </c>
      <c r="D31" s="73">
        <v>261268188.13</v>
      </c>
      <c r="E31" s="73">
        <v>27837468.89</v>
      </c>
      <c r="F31" s="113">
        <v>27837468.89</v>
      </c>
      <c r="G31" s="73">
        <f t="shared" si="6"/>
        <v>233430719.24</v>
      </c>
    </row>
    <row r="32" spans="1:7" ht="15">
      <c r="A32" s="131" t="s">
        <v>319</v>
      </c>
      <c r="B32" s="73">
        <v>71590144</v>
      </c>
      <c r="C32" s="73">
        <v>2459506.28</v>
      </c>
      <c r="D32" s="73">
        <v>74049650.28</v>
      </c>
      <c r="E32" s="73">
        <v>12965562.57</v>
      </c>
      <c r="F32" s="113">
        <v>12965562.57</v>
      </c>
      <c r="G32" s="73">
        <f t="shared" si="6"/>
        <v>61084087.71</v>
      </c>
    </row>
    <row r="33" spans="1:7" ht="15">
      <c r="A33" s="131" t="s">
        <v>320</v>
      </c>
      <c r="B33" s="73">
        <v>133067413</v>
      </c>
      <c r="C33" s="73">
        <v>47808036.8</v>
      </c>
      <c r="D33" s="73">
        <v>180875449.8</v>
      </c>
      <c r="E33" s="73">
        <v>55615889.5</v>
      </c>
      <c r="F33" s="113">
        <v>55615889.5</v>
      </c>
      <c r="G33" s="73">
        <f t="shared" si="6"/>
        <v>125259560.30000001</v>
      </c>
    </row>
    <row r="34" spans="1:7" ht="15">
      <c r="A34" s="131" t="s">
        <v>321</v>
      </c>
      <c r="B34" s="73">
        <v>81086535</v>
      </c>
      <c r="C34" s="73">
        <v>35883863.62</v>
      </c>
      <c r="D34" s="73">
        <v>116970398.62</v>
      </c>
      <c r="E34" s="73">
        <v>25111372.74</v>
      </c>
      <c r="F34" s="113">
        <v>25111372.74</v>
      </c>
      <c r="G34" s="73">
        <f t="shared" si="6"/>
        <v>91859025.88000001</v>
      </c>
    </row>
    <row r="35" spans="1:7" ht="15">
      <c r="A35" s="131" t="s">
        <v>322</v>
      </c>
      <c r="B35" s="73">
        <v>21545519</v>
      </c>
      <c r="C35" s="73">
        <v>896722.63</v>
      </c>
      <c r="D35" s="73">
        <v>22442241.63</v>
      </c>
      <c r="E35" s="73">
        <v>4232436.98</v>
      </c>
      <c r="F35" s="113">
        <v>4232436.98</v>
      </c>
      <c r="G35" s="73">
        <f t="shared" si="6"/>
        <v>18209804.65</v>
      </c>
    </row>
    <row r="36" spans="1:7" ht="15">
      <c r="A36" s="131" t="s">
        <v>323</v>
      </c>
      <c r="B36" s="73">
        <v>79675644</v>
      </c>
      <c r="C36" s="73">
        <v>-9972600.29</v>
      </c>
      <c r="D36" s="73">
        <v>69703043.71</v>
      </c>
      <c r="E36" s="73">
        <v>5746389.56</v>
      </c>
      <c r="F36" s="113">
        <v>5746389.56</v>
      </c>
      <c r="G36" s="73">
        <f t="shared" si="6"/>
        <v>63956654.14999999</v>
      </c>
    </row>
    <row r="37" spans="1:7" ht="15">
      <c r="A37" s="131" t="s">
        <v>324</v>
      </c>
      <c r="B37" s="73">
        <v>146547164</v>
      </c>
      <c r="C37" s="73">
        <v>-46889589.91</v>
      </c>
      <c r="D37" s="73">
        <v>99657574.09</v>
      </c>
      <c r="E37" s="73">
        <v>20434022.02</v>
      </c>
      <c r="F37" s="113">
        <v>15772077.64</v>
      </c>
      <c r="G37" s="73">
        <f t="shared" si="6"/>
        <v>79223552.07000001</v>
      </c>
    </row>
    <row r="38" spans="1:7" ht="15">
      <c r="A38" s="136" t="s">
        <v>325</v>
      </c>
      <c r="B38" s="73">
        <f aca="true" t="shared" si="7" ref="B38:G38">SUM(B39:B47)</f>
        <v>4780422893</v>
      </c>
      <c r="C38" s="73">
        <f t="shared" si="7"/>
        <v>215669845.07999998</v>
      </c>
      <c r="D38" s="73">
        <f t="shared" si="7"/>
        <v>4996092738.08</v>
      </c>
      <c r="E38" s="73">
        <f>SUM(E39:E47)</f>
        <v>1286087712.05</v>
      </c>
      <c r="F38" s="73">
        <f t="shared" si="7"/>
        <v>1285191392.4299998</v>
      </c>
      <c r="G38" s="73">
        <f t="shared" si="7"/>
        <v>3710005026.0299997</v>
      </c>
    </row>
    <row r="39" spans="1:7" ht="15">
      <c r="A39" s="131" t="s">
        <v>326</v>
      </c>
      <c r="B39" s="73">
        <v>1158392345</v>
      </c>
      <c r="C39" s="73">
        <v>8885796.92</v>
      </c>
      <c r="D39" s="73">
        <v>1167278141.92</v>
      </c>
      <c r="E39" s="73">
        <v>335486288.88</v>
      </c>
      <c r="F39" s="113">
        <v>335486288.88</v>
      </c>
      <c r="G39" s="113">
        <f aca="true" t="shared" si="8" ref="G39:G47">D39-E39</f>
        <v>831791853.0400001</v>
      </c>
    </row>
    <row r="40" spans="1:7" ht="15">
      <c r="A40" s="131" t="s">
        <v>327</v>
      </c>
      <c r="B40" s="73">
        <v>3026015695</v>
      </c>
      <c r="C40" s="73">
        <v>133688377.16</v>
      </c>
      <c r="D40" s="73">
        <v>3159704072.16</v>
      </c>
      <c r="E40" s="73">
        <v>896407187.07</v>
      </c>
      <c r="F40" s="113">
        <v>895510867.45</v>
      </c>
      <c r="G40" s="113">
        <f t="shared" si="8"/>
        <v>2263296885.0899997</v>
      </c>
    </row>
    <row r="41" spans="1:7" ht="15">
      <c r="A41" s="131" t="s">
        <v>328</v>
      </c>
      <c r="B41" s="73">
        <v>72000000</v>
      </c>
      <c r="C41" s="73">
        <v>72000000</v>
      </c>
      <c r="D41" s="73">
        <v>144000000</v>
      </c>
      <c r="E41" s="73">
        <v>0</v>
      </c>
      <c r="F41" s="73">
        <v>0</v>
      </c>
      <c r="G41" s="113">
        <f t="shared" si="8"/>
        <v>144000000</v>
      </c>
    </row>
    <row r="42" spans="1:7" ht="15">
      <c r="A42" s="131" t="s">
        <v>329</v>
      </c>
      <c r="B42" s="73">
        <v>473507255</v>
      </c>
      <c r="C42" s="73">
        <v>1095671</v>
      </c>
      <c r="D42" s="73">
        <v>474602926</v>
      </c>
      <c r="E42" s="73">
        <v>45849911.1</v>
      </c>
      <c r="F42" s="113">
        <v>45849911.1</v>
      </c>
      <c r="G42" s="113">
        <f t="shared" si="8"/>
        <v>428753014.9</v>
      </c>
    </row>
    <row r="43" spans="1:7" ht="15">
      <c r="A43" s="131" t="s">
        <v>330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f t="shared" si="8"/>
        <v>0</v>
      </c>
    </row>
    <row r="44" spans="1:7" ht="15">
      <c r="A44" s="131" t="s">
        <v>331</v>
      </c>
      <c r="B44" s="73">
        <v>49508550</v>
      </c>
      <c r="C44" s="73">
        <v>0</v>
      </c>
      <c r="D44" s="73">
        <v>49508550</v>
      </c>
      <c r="E44" s="73">
        <v>8344325</v>
      </c>
      <c r="F44" s="113">
        <v>8344325</v>
      </c>
      <c r="G44" s="113">
        <f t="shared" si="8"/>
        <v>41164225</v>
      </c>
    </row>
    <row r="45" spans="1:7" ht="15">
      <c r="A45" s="131" t="s">
        <v>332</v>
      </c>
      <c r="B45" s="73">
        <v>999048</v>
      </c>
      <c r="C45" s="73">
        <v>0</v>
      </c>
      <c r="D45" s="73">
        <v>999048</v>
      </c>
      <c r="E45" s="73">
        <v>0</v>
      </c>
      <c r="F45" s="73">
        <v>0</v>
      </c>
      <c r="G45" s="73">
        <f t="shared" si="8"/>
        <v>999048</v>
      </c>
    </row>
    <row r="46" spans="1:7" ht="15">
      <c r="A46" s="131" t="s">
        <v>333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f t="shared" si="8"/>
        <v>0</v>
      </c>
    </row>
    <row r="47" spans="1:7" ht="15">
      <c r="A47" s="131" t="s">
        <v>334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73">
        <f t="shared" si="8"/>
        <v>0</v>
      </c>
    </row>
    <row r="48" spans="1:7" ht="15">
      <c r="A48" s="136" t="s">
        <v>335</v>
      </c>
      <c r="B48" s="73">
        <f aca="true" t="shared" si="9" ref="B48:G48">SUM(B49:B57)</f>
        <v>92958544</v>
      </c>
      <c r="C48" s="73">
        <f t="shared" si="9"/>
        <v>62571104.120000005</v>
      </c>
      <c r="D48" s="73">
        <f t="shared" si="9"/>
        <v>155529648.12</v>
      </c>
      <c r="E48" s="73">
        <f t="shared" si="9"/>
        <v>64206261.14</v>
      </c>
      <c r="F48" s="73">
        <f t="shared" si="9"/>
        <v>64206261.14</v>
      </c>
      <c r="G48" s="73">
        <f t="shared" si="9"/>
        <v>91323386.98</v>
      </c>
    </row>
    <row r="49" spans="1:7" ht="15">
      <c r="A49" s="131" t="s">
        <v>336</v>
      </c>
      <c r="B49" s="73">
        <v>17637258</v>
      </c>
      <c r="C49" s="73">
        <v>45781268.49</v>
      </c>
      <c r="D49" s="73">
        <v>63418526.49</v>
      </c>
      <c r="E49" s="73">
        <v>46190585.51</v>
      </c>
      <c r="F49" s="113">
        <v>46190585.51</v>
      </c>
      <c r="G49" s="73">
        <f>D49-E49</f>
        <v>17227940.980000004</v>
      </c>
    </row>
    <row r="50" spans="1:7" ht="15">
      <c r="A50" s="131" t="s">
        <v>337</v>
      </c>
      <c r="B50" s="73">
        <v>406985</v>
      </c>
      <c r="C50" s="73">
        <v>92638</v>
      </c>
      <c r="D50" s="73">
        <v>499623</v>
      </c>
      <c r="E50" s="73">
        <v>48778</v>
      </c>
      <c r="F50" s="113">
        <v>48778</v>
      </c>
      <c r="G50" s="73">
        <f aca="true" t="shared" si="10" ref="G50:G57">D50-E50</f>
        <v>450845</v>
      </c>
    </row>
    <row r="51" spans="1:7" ht="15">
      <c r="A51" s="131" t="s">
        <v>338</v>
      </c>
      <c r="B51" s="73">
        <v>0</v>
      </c>
      <c r="C51" s="73">
        <v>20239.7</v>
      </c>
      <c r="D51" s="73">
        <v>20239.7</v>
      </c>
      <c r="E51" s="73">
        <v>19239.7</v>
      </c>
      <c r="F51" s="113">
        <v>19239.7</v>
      </c>
      <c r="G51" s="73">
        <f t="shared" si="10"/>
        <v>1000</v>
      </c>
    </row>
    <row r="52" spans="1:7" ht="15">
      <c r="A52" s="131" t="s">
        <v>339</v>
      </c>
      <c r="B52" s="73">
        <v>8439862</v>
      </c>
      <c r="C52" s="73">
        <v>9373402</v>
      </c>
      <c r="D52" s="73">
        <v>17813264</v>
      </c>
      <c r="E52" s="73">
        <v>10648402</v>
      </c>
      <c r="F52" s="113">
        <v>10648402</v>
      </c>
      <c r="G52" s="73">
        <f t="shared" si="10"/>
        <v>7164862</v>
      </c>
    </row>
    <row r="53" spans="1:7" ht="15">
      <c r="A53" s="131" t="s">
        <v>340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f t="shared" si="10"/>
        <v>0</v>
      </c>
    </row>
    <row r="54" spans="1:7" ht="15">
      <c r="A54" s="131" t="s">
        <v>341</v>
      </c>
      <c r="B54" s="73">
        <v>60054439</v>
      </c>
      <c r="C54" s="73">
        <v>352382.13</v>
      </c>
      <c r="D54" s="73">
        <v>60406821.13</v>
      </c>
      <c r="E54" s="73">
        <v>348082.13</v>
      </c>
      <c r="F54" s="113">
        <v>348082.13</v>
      </c>
      <c r="G54" s="73">
        <f t="shared" si="10"/>
        <v>60058739</v>
      </c>
    </row>
    <row r="55" spans="1:7" ht="15">
      <c r="A55" s="131" t="s">
        <v>342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f t="shared" si="10"/>
        <v>0</v>
      </c>
    </row>
    <row r="56" spans="1:7" ht="15">
      <c r="A56" s="131" t="s">
        <v>343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f t="shared" si="10"/>
        <v>0</v>
      </c>
    </row>
    <row r="57" spans="1:7" ht="15">
      <c r="A57" s="131" t="s">
        <v>344</v>
      </c>
      <c r="B57" s="73">
        <v>6420000</v>
      </c>
      <c r="C57" s="73">
        <v>6951173.8</v>
      </c>
      <c r="D57" s="73">
        <v>13371173.8</v>
      </c>
      <c r="E57" s="73">
        <v>6951173.8</v>
      </c>
      <c r="F57" s="73">
        <v>6951173.8</v>
      </c>
      <c r="G57" s="73">
        <f t="shared" si="10"/>
        <v>6420000.000000001</v>
      </c>
    </row>
    <row r="58" spans="1:7" ht="15">
      <c r="A58" s="136" t="s">
        <v>345</v>
      </c>
      <c r="B58" s="73">
        <f aca="true" t="shared" si="11" ref="B58:G58">SUM(B59:B61)</f>
        <v>216414344</v>
      </c>
      <c r="C58" s="73">
        <f t="shared" si="11"/>
        <v>166362037.53</v>
      </c>
      <c r="D58" s="117">
        <f>SUM(D59:D61)</f>
        <v>382776381.53</v>
      </c>
      <c r="E58" s="73">
        <f t="shared" si="11"/>
        <v>90381823.92</v>
      </c>
      <c r="F58" s="113">
        <f t="shared" si="11"/>
        <v>80716609.87</v>
      </c>
      <c r="G58" s="73">
        <f t="shared" si="11"/>
        <v>292394557.60999995</v>
      </c>
    </row>
    <row r="59" spans="1:7" ht="15">
      <c r="A59" s="131" t="s">
        <v>346</v>
      </c>
      <c r="B59" s="73">
        <v>216414344</v>
      </c>
      <c r="C59" s="73">
        <v>88865687.53</v>
      </c>
      <c r="D59" s="73">
        <v>305280031.53</v>
      </c>
      <c r="E59" s="73">
        <v>40311548.52</v>
      </c>
      <c r="F59" s="113">
        <v>30646334.47</v>
      </c>
      <c r="G59" s="73">
        <f>D59-E59</f>
        <v>264968483.00999996</v>
      </c>
    </row>
    <row r="60" spans="1:7" ht="15">
      <c r="A60" s="131" t="s">
        <v>347</v>
      </c>
      <c r="B60" s="73">
        <v>0</v>
      </c>
      <c r="C60" s="73">
        <v>77496350</v>
      </c>
      <c r="D60" s="73">
        <v>77496350</v>
      </c>
      <c r="E60" s="73">
        <v>50070275.4</v>
      </c>
      <c r="F60" s="113">
        <v>50070275.4</v>
      </c>
      <c r="G60" s="73">
        <f>D60-E60</f>
        <v>27426074.6</v>
      </c>
    </row>
    <row r="61" spans="1:7" ht="15">
      <c r="A61" s="131" t="s">
        <v>348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f>D61-E61</f>
        <v>0</v>
      </c>
    </row>
    <row r="62" spans="1:7" ht="15">
      <c r="A62" s="136" t="s">
        <v>349</v>
      </c>
      <c r="B62" s="112">
        <f>SUM(B63:B67,B68:B69)</f>
        <v>22009717</v>
      </c>
      <c r="C62" s="112">
        <f>SUM(C63:C67,C68:C69)</f>
        <v>5975339.110000001</v>
      </c>
      <c r="D62" s="113">
        <f>SUM(D63:D67,D68:D69)</f>
        <v>27985056.11</v>
      </c>
      <c r="E62" s="112">
        <f>SUM(E63:E67,E68:E69)</f>
        <v>19704125.03</v>
      </c>
      <c r="F62" s="73">
        <f>SUM(F63:F67,F68:F69)</f>
        <v>19704125.03</v>
      </c>
      <c r="G62" s="112">
        <f>D62-E62</f>
        <v>8280931.079999998</v>
      </c>
    </row>
    <row r="63" spans="1:7" ht="15">
      <c r="A63" s="131" t="s">
        <v>350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73">
        <f>D63-E63</f>
        <v>0</v>
      </c>
    </row>
    <row r="64" spans="1:7" ht="15">
      <c r="A64" s="131" t="s">
        <v>351</v>
      </c>
      <c r="B64" s="112">
        <v>0</v>
      </c>
      <c r="C64" s="112">
        <v>0</v>
      </c>
      <c r="D64" s="112">
        <v>0</v>
      </c>
      <c r="E64" s="112">
        <v>0</v>
      </c>
      <c r="F64" s="112">
        <v>0</v>
      </c>
      <c r="G64" s="73">
        <f aca="true" t="shared" si="12" ref="G64:G69">D64-E64</f>
        <v>0</v>
      </c>
    </row>
    <row r="65" spans="1:7" ht="15">
      <c r="A65" s="131" t="s">
        <v>352</v>
      </c>
      <c r="B65" s="112">
        <v>0</v>
      </c>
      <c r="C65" s="112">
        <v>0</v>
      </c>
      <c r="D65" s="112">
        <v>0</v>
      </c>
      <c r="E65" s="112">
        <v>0</v>
      </c>
      <c r="F65" s="112">
        <v>0</v>
      </c>
      <c r="G65" s="73">
        <f t="shared" si="12"/>
        <v>0</v>
      </c>
    </row>
    <row r="66" spans="1:7" ht="15">
      <c r="A66" s="131" t="s">
        <v>353</v>
      </c>
      <c r="B66" s="112">
        <v>0</v>
      </c>
      <c r="C66" s="112">
        <v>0</v>
      </c>
      <c r="D66" s="112">
        <v>0</v>
      </c>
      <c r="E66" s="112">
        <v>0</v>
      </c>
      <c r="F66" s="112">
        <v>0</v>
      </c>
      <c r="G66" s="73">
        <f t="shared" si="12"/>
        <v>0</v>
      </c>
    </row>
    <row r="67" spans="1:7" ht="30">
      <c r="A67" s="134" t="s">
        <v>454</v>
      </c>
      <c r="B67" s="113">
        <v>0</v>
      </c>
      <c r="C67" s="113">
        <v>19704125.03</v>
      </c>
      <c r="D67" s="113">
        <v>19704125.03</v>
      </c>
      <c r="E67" s="113">
        <v>19704125.03</v>
      </c>
      <c r="F67" s="113">
        <v>19704125.03</v>
      </c>
      <c r="G67" s="113">
        <f t="shared" si="12"/>
        <v>0</v>
      </c>
    </row>
    <row r="68" spans="1:7" ht="15">
      <c r="A68" s="131" t="s">
        <v>356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73">
        <f t="shared" si="12"/>
        <v>0</v>
      </c>
    </row>
    <row r="69" spans="1:7" ht="15">
      <c r="A69" s="131" t="s">
        <v>357</v>
      </c>
      <c r="B69" s="73">
        <v>22009717</v>
      </c>
      <c r="C69" s="73">
        <v>-13728785.92</v>
      </c>
      <c r="D69" s="73">
        <v>8280931.08</v>
      </c>
      <c r="E69" s="73">
        <v>0</v>
      </c>
      <c r="F69" s="73">
        <v>0</v>
      </c>
      <c r="G69" s="73">
        <f t="shared" si="12"/>
        <v>8280931.08</v>
      </c>
    </row>
    <row r="70" spans="1:7" ht="15">
      <c r="A70" s="136" t="s">
        <v>358</v>
      </c>
      <c r="B70" s="73">
        <f aca="true" t="shared" si="13" ref="B70:G70">SUM(B71:B73)</f>
        <v>3264637563</v>
      </c>
      <c r="C70" s="73">
        <f t="shared" si="13"/>
        <v>60611670.879999995</v>
      </c>
      <c r="D70" s="73">
        <f t="shared" si="13"/>
        <v>3325249233.88</v>
      </c>
      <c r="E70" s="73">
        <f t="shared" si="13"/>
        <v>856085670.99</v>
      </c>
      <c r="F70" s="73">
        <f t="shared" si="13"/>
        <v>856085670.99</v>
      </c>
      <c r="G70" s="73">
        <f t="shared" si="13"/>
        <v>2469163562.8899994</v>
      </c>
    </row>
    <row r="71" spans="1:7" ht="15">
      <c r="A71" s="131" t="s">
        <v>359</v>
      </c>
      <c r="B71" s="73">
        <v>2850755588</v>
      </c>
      <c r="C71" s="73">
        <v>51936682.41</v>
      </c>
      <c r="D71" s="73">
        <v>2902692270.41</v>
      </c>
      <c r="E71" s="73">
        <v>754649110.01</v>
      </c>
      <c r="F71" s="113">
        <v>754649110.01</v>
      </c>
      <c r="G71" s="73">
        <f>D71-E71</f>
        <v>2148043160.3999996</v>
      </c>
    </row>
    <row r="72" spans="1:7" ht="15">
      <c r="A72" s="131" t="s">
        <v>360</v>
      </c>
      <c r="B72" s="73">
        <v>87848043</v>
      </c>
      <c r="C72" s="73">
        <v>4165400</v>
      </c>
      <c r="D72" s="73">
        <v>92013443</v>
      </c>
      <c r="E72" s="73">
        <v>29663429</v>
      </c>
      <c r="F72" s="113">
        <v>29663429</v>
      </c>
      <c r="G72" s="73">
        <f>D72-E72</f>
        <v>62350014</v>
      </c>
    </row>
    <row r="73" spans="1:7" ht="15">
      <c r="A73" s="131" t="s">
        <v>361</v>
      </c>
      <c r="B73" s="73">
        <v>326033932</v>
      </c>
      <c r="C73" s="73">
        <v>4509588.47</v>
      </c>
      <c r="D73" s="73">
        <v>330543520.47</v>
      </c>
      <c r="E73" s="73">
        <v>71773131.98</v>
      </c>
      <c r="F73" s="113">
        <v>71773131.98</v>
      </c>
      <c r="G73" s="73">
        <f>D73-E73</f>
        <v>258770388.49</v>
      </c>
    </row>
    <row r="74" spans="1:7" ht="15">
      <c r="A74" s="136" t="s">
        <v>362</v>
      </c>
      <c r="B74" s="73">
        <f aca="true" t="shared" si="14" ref="B74:G74">SUM(B75:B81)</f>
        <v>414641341</v>
      </c>
      <c r="C74" s="73">
        <f>SUM(C75:C81)</f>
        <v>8051634.42</v>
      </c>
      <c r="D74" s="73">
        <f t="shared" si="14"/>
        <v>422692975.42</v>
      </c>
      <c r="E74" s="73">
        <f t="shared" si="14"/>
        <v>90222380.86</v>
      </c>
      <c r="F74" s="73">
        <f t="shared" si="14"/>
        <v>90222380.86</v>
      </c>
      <c r="G74" s="73">
        <f t="shared" si="14"/>
        <v>332470594.56000006</v>
      </c>
    </row>
    <row r="75" spans="1:7" ht="15">
      <c r="A75" s="131" t="s">
        <v>363</v>
      </c>
      <c r="B75" s="73">
        <v>66073300</v>
      </c>
      <c r="C75" s="73">
        <v>0</v>
      </c>
      <c r="D75" s="73">
        <v>66073300</v>
      </c>
      <c r="E75" s="73">
        <v>15639291.4</v>
      </c>
      <c r="F75" s="113">
        <v>15639291.4</v>
      </c>
      <c r="G75" s="73">
        <f>D75-E75</f>
        <v>50434008.6</v>
      </c>
    </row>
    <row r="76" spans="1:7" ht="15">
      <c r="A76" s="131" t="s">
        <v>364</v>
      </c>
      <c r="B76" s="73">
        <v>298568041</v>
      </c>
      <c r="C76" s="73">
        <v>8051634.42</v>
      </c>
      <c r="D76" s="73">
        <v>306619675.42</v>
      </c>
      <c r="E76" s="73">
        <v>74583089.46</v>
      </c>
      <c r="F76" s="113">
        <v>74583089.46</v>
      </c>
      <c r="G76" s="73">
        <f aca="true" t="shared" si="15" ref="G76:G81">D76-E76</f>
        <v>232036585.96000004</v>
      </c>
    </row>
    <row r="77" spans="1:7" ht="15">
      <c r="A77" s="131" t="s">
        <v>365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f t="shared" si="15"/>
        <v>0</v>
      </c>
    </row>
    <row r="78" spans="1:7" ht="15">
      <c r="A78" s="131" t="s">
        <v>366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f t="shared" si="15"/>
        <v>0</v>
      </c>
    </row>
    <row r="79" spans="1:7" ht="15">
      <c r="A79" s="131" t="s">
        <v>367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f t="shared" si="15"/>
        <v>0</v>
      </c>
    </row>
    <row r="80" spans="1:7" ht="15">
      <c r="A80" s="131" t="s">
        <v>368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f t="shared" si="15"/>
        <v>0</v>
      </c>
    </row>
    <row r="81" spans="1:7" ht="15">
      <c r="A81" s="131" t="s">
        <v>369</v>
      </c>
      <c r="B81" s="73">
        <v>50000000</v>
      </c>
      <c r="C81" s="73">
        <v>0</v>
      </c>
      <c r="D81" s="73">
        <v>50000000</v>
      </c>
      <c r="E81" s="73">
        <v>0</v>
      </c>
      <c r="F81" s="73">
        <v>0</v>
      </c>
      <c r="G81" s="73">
        <f t="shared" si="15"/>
        <v>50000000</v>
      </c>
    </row>
    <row r="82" spans="1:7" ht="15">
      <c r="A82" s="19"/>
      <c r="B82" s="74"/>
      <c r="C82" s="74"/>
      <c r="D82" s="74"/>
      <c r="E82" s="74"/>
      <c r="F82" s="74"/>
      <c r="G82" s="74"/>
    </row>
    <row r="83" spans="1:7" ht="15">
      <c r="A83" s="128" t="s">
        <v>370</v>
      </c>
      <c r="B83" s="75">
        <f aca="true" t="shared" si="16" ref="B83:G83">SUM(B84,B92,B102,B112,B122,B132,B136,B145,B149)</f>
        <v>13130768295</v>
      </c>
      <c r="C83" s="75">
        <f t="shared" si="16"/>
        <v>601999998.2</v>
      </c>
      <c r="D83" s="75">
        <f>SUM(D84,D92,D102,D112,D122,D132,D136,D145,D149)</f>
        <v>13732768293.199999</v>
      </c>
      <c r="E83" s="75">
        <f t="shared" si="16"/>
        <v>3102797104.2299995</v>
      </c>
      <c r="F83" s="75">
        <f t="shared" si="16"/>
        <v>3102797104.2299995</v>
      </c>
      <c r="G83" s="75">
        <f t="shared" si="16"/>
        <v>10629971188.97</v>
      </c>
    </row>
    <row r="84" spans="1:7" ht="15">
      <c r="A84" s="136" t="s">
        <v>297</v>
      </c>
      <c r="B84" s="73">
        <f aca="true" t="shared" si="17" ref="B84:G84">SUM(B85:B91)</f>
        <v>5475556121</v>
      </c>
      <c r="C84" s="73">
        <f t="shared" si="17"/>
        <v>0.8400000035762787</v>
      </c>
      <c r="D84" s="73">
        <f t="shared" si="17"/>
        <v>5475556121.84</v>
      </c>
      <c r="E84" s="73">
        <f t="shared" si="17"/>
        <v>1249424490.2099998</v>
      </c>
      <c r="F84" s="73">
        <f t="shared" si="17"/>
        <v>1249424490.2099998</v>
      </c>
      <c r="G84" s="73">
        <f t="shared" si="17"/>
        <v>4226131631.63</v>
      </c>
    </row>
    <row r="85" spans="1:7" ht="15">
      <c r="A85" s="131" t="s">
        <v>298</v>
      </c>
      <c r="B85" s="73">
        <v>3247368135</v>
      </c>
      <c r="C85" s="73">
        <v>-86334815.16</v>
      </c>
      <c r="D85" s="73">
        <v>3161033319.84</v>
      </c>
      <c r="E85" s="73">
        <v>717491751.36</v>
      </c>
      <c r="F85" s="113">
        <v>717491751.36</v>
      </c>
      <c r="G85" s="73">
        <f>D85-E85</f>
        <v>2443541568.48</v>
      </c>
    </row>
    <row r="86" spans="1:7" ht="15">
      <c r="A86" s="131" t="s">
        <v>299</v>
      </c>
      <c r="B86" s="73">
        <v>4332449</v>
      </c>
      <c r="C86" s="73">
        <v>243402</v>
      </c>
      <c r="D86" s="73">
        <v>4575851</v>
      </c>
      <c r="E86" s="73">
        <v>1112230.23</v>
      </c>
      <c r="F86" s="113">
        <v>1112230.23</v>
      </c>
      <c r="G86" s="73">
        <f aca="true" t="shared" si="18" ref="G86:G91">D86-E86</f>
        <v>3463620.77</v>
      </c>
    </row>
    <row r="87" spans="1:7" ht="15">
      <c r="A87" s="131" t="s">
        <v>300</v>
      </c>
      <c r="B87" s="73">
        <v>1076387329</v>
      </c>
      <c r="C87" s="73">
        <v>44936040</v>
      </c>
      <c r="D87" s="73">
        <v>1121323369</v>
      </c>
      <c r="E87" s="73">
        <v>308451035.19</v>
      </c>
      <c r="F87" s="113">
        <v>308451035.19</v>
      </c>
      <c r="G87" s="73">
        <f t="shared" si="18"/>
        <v>812872333.81</v>
      </c>
    </row>
    <row r="88" spans="1:7" ht="15">
      <c r="A88" s="131" t="s">
        <v>301</v>
      </c>
      <c r="B88" s="73">
        <v>523910037</v>
      </c>
      <c r="C88" s="73">
        <v>-236816</v>
      </c>
      <c r="D88" s="73">
        <v>523673221</v>
      </c>
      <c r="E88" s="73">
        <v>69488041.6</v>
      </c>
      <c r="F88" s="113">
        <v>69488041.6</v>
      </c>
      <c r="G88" s="73">
        <f t="shared" si="18"/>
        <v>454185179.4</v>
      </c>
    </row>
    <row r="89" spans="1:7" ht="15">
      <c r="A89" s="131" t="s">
        <v>302</v>
      </c>
      <c r="B89" s="73">
        <v>92471861</v>
      </c>
      <c r="C89" s="73">
        <v>23616850</v>
      </c>
      <c r="D89" s="73">
        <v>116088711</v>
      </c>
      <c r="E89" s="73">
        <v>51084277.85</v>
      </c>
      <c r="F89" s="113">
        <v>51084277.85</v>
      </c>
      <c r="G89" s="73">
        <f t="shared" si="18"/>
        <v>65004433.15</v>
      </c>
    </row>
    <row r="90" spans="1:7" ht="15">
      <c r="A90" s="131" t="s">
        <v>303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f t="shared" si="18"/>
        <v>0</v>
      </c>
    </row>
    <row r="91" spans="1:7" ht="15">
      <c r="A91" s="131" t="s">
        <v>304</v>
      </c>
      <c r="B91" s="73">
        <v>531086310</v>
      </c>
      <c r="C91" s="73">
        <v>17775340</v>
      </c>
      <c r="D91" s="73">
        <v>548861650</v>
      </c>
      <c r="E91" s="73">
        <v>101797153.98</v>
      </c>
      <c r="F91" s="113">
        <v>101797153.98</v>
      </c>
      <c r="G91" s="73">
        <f t="shared" si="18"/>
        <v>447064496.02</v>
      </c>
    </row>
    <row r="92" spans="1:7" ht="15">
      <c r="A92" s="136" t="s">
        <v>305</v>
      </c>
      <c r="B92" s="73">
        <f aca="true" t="shared" si="19" ref="B92:G92">SUM(B93:B101)</f>
        <v>72250665</v>
      </c>
      <c r="C92" s="113">
        <f t="shared" si="19"/>
        <v>17511903.169999998</v>
      </c>
      <c r="D92" s="113">
        <f t="shared" si="19"/>
        <v>89762568.16999999</v>
      </c>
      <c r="E92" s="113">
        <f t="shared" si="19"/>
        <v>24762454.16</v>
      </c>
      <c r="F92" s="113">
        <f t="shared" si="19"/>
        <v>24762454.16</v>
      </c>
      <c r="G92" s="113">
        <f t="shared" si="19"/>
        <v>65000114.010000005</v>
      </c>
    </row>
    <row r="93" spans="1:7" ht="15">
      <c r="A93" s="131" t="s">
        <v>306</v>
      </c>
      <c r="B93" s="73">
        <v>10282374</v>
      </c>
      <c r="C93" s="73">
        <v>-5448845.8</v>
      </c>
      <c r="D93" s="73">
        <v>4833528.2</v>
      </c>
      <c r="E93" s="73">
        <v>26739.2</v>
      </c>
      <c r="F93" s="113">
        <v>26739.2</v>
      </c>
      <c r="G93" s="73">
        <f>D93-E93</f>
        <v>4806789</v>
      </c>
    </row>
    <row r="94" spans="1:7" ht="15">
      <c r="A94" s="131" t="s">
        <v>307</v>
      </c>
      <c r="B94" s="73">
        <v>10775139</v>
      </c>
      <c r="C94" s="73">
        <v>454862.4</v>
      </c>
      <c r="D94" s="73">
        <v>11230001.4</v>
      </c>
      <c r="E94" s="73">
        <v>1446931.4</v>
      </c>
      <c r="F94" s="73">
        <v>1446931.4</v>
      </c>
      <c r="G94" s="113">
        <f aca="true" t="shared" si="20" ref="G94:G101">D94-E94</f>
        <v>9783070</v>
      </c>
    </row>
    <row r="95" spans="1:7" ht="15">
      <c r="A95" s="131" t="s">
        <v>308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73">
        <f t="shared" si="20"/>
        <v>0</v>
      </c>
    </row>
    <row r="96" spans="1:7" ht="15">
      <c r="A96" s="131" t="s">
        <v>309</v>
      </c>
      <c r="B96" s="73">
        <v>341607</v>
      </c>
      <c r="C96" s="73">
        <v>-47658.56</v>
      </c>
      <c r="D96" s="73">
        <v>293948.44</v>
      </c>
      <c r="E96" s="73">
        <v>7545.44</v>
      </c>
      <c r="F96" s="113">
        <v>7545.44</v>
      </c>
      <c r="G96" s="73">
        <f t="shared" si="20"/>
        <v>286403</v>
      </c>
    </row>
    <row r="97" spans="1:7" ht="15">
      <c r="A97" s="137" t="s">
        <v>310</v>
      </c>
      <c r="B97" s="73">
        <v>2152000</v>
      </c>
      <c r="C97" s="73">
        <v>1359567.63</v>
      </c>
      <c r="D97" s="73">
        <v>3511567.63</v>
      </c>
      <c r="E97" s="73">
        <v>219405.63</v>
      </c>
      <c r="F97" s="113">
        <v>219405.63</v>
      </c>
      <c r="G97" s="73">
        <f t="shared" si="20"/>
        <v>3292162</v>
      </c>
    </row>
    <row r="98" spans="1:7" ht="15">
      <c r="A98" s="131" t="s">
        <v>311</v>
      </c>
      <c r="B98" s="73">
        <v>3254300</v>
      </c>
      <c r="C98" s="73">
        <v>230318.06</v>
      </c>
      <c r="D98" s="73">
        <v>3484618.06</v>
      </c>
      <c r="E98" s="73">
        <v>689886.06</v>
      </c>
      <c r="F98" s="113">
        <v>689886.06</v>
      </c>
      <c r="G98" s="73">
        <f t="shared" si="20"/>
        <v>2794732</v>
      </c>
    </row>
    <row r="99" spans="1:7" ht="15">
      <c r="A99" s="131" t="s">
        <v>312</v>
      </c>
      <c r="B99" s="73">
        <v>34909590</v>
      </c>
      <c r="C99" s="73">
        <v>17816080.15</v>
      </c>
      <c r="D99" s="73">
        <v>52725670.15</v>
      </c>
      <c r="E99" s="73">
        <v>20094414.15</v>
      </c>
      <c r="F99" s="113">
        <v>20094414.15</v>
      </c>
      <c r="G99" s="73">
        <f t="shared" si="20"/>
        <v>32631256</v>
      </c>
    </row>
    <row r="100" spans="1:7" ht="15">
      <c r="A100" s="131" t="s">
        <v>313</v>
      </c>
      <c r="B100" s="73">
        <v>9450000</v>
      </c>
      <c r="C100" s="73">
        <v>3322971.47</v>
      </c>
      <c r="D100" s="73">
        <v>12772971.47</v>
      </c>
      <c r="E100" s="73">
        <v>2267799.46</v>
      </c>
      <c r="F100" s="113">
        <v>2267799.46</v>
      </c>
      <c r="G100" s="73">
        <f t="shared" si="20"/>
        <v>10505172.010000002</v>
      </c>
    </row>
    <row r="101" spans="1:7" ht="15">
      <c r="A101" s="131" t="s">
        <v>314</v>
      </c>
      <c r="B101" s="73">
        <v>1085655</v>
      </c>
      <c r="C101" s="73">
        <v>-175392.18</v>
      </c>
      <c r="D101" s="73">
        <v>910262.82</v>
      </c>
      <c r="E101" s="73">
        <v>9732.82</v>
      </c>
      <c r="F101" s="113">
        <v>9732.82</v>
      </c>
      <c r="G101" s="73">
        <f t="shared" si="20"/>
        <v>900530</v>
      </c>
    </row>
    <row r="102" spans="1:7" ht="15">
      <c r="A102" s="136" t="s">
        <v>315</v>
      </c>
      <c r="B102" s="73">
        <f aca="true" t="shared" si="21" ref="B102:G102">SUM(B103:B111)</f>
        <v>292376352</v>
      </c>
      <c r="C102" s="73">
        <f t="shared" si="21"/>
        <v>17746660.74</v>
      </c>
      <c r="D102" s="73">
        <f t="shared" si="21"/>
        <v>310123012.73999995</v>
      </c>
      <c r="E102" s="73">
        <f t="shared" si="21"/>
        <v>64569197.08</v>
      </c>
      <c r="F102" s="73">
        <f t="shared" si="21"/>
        <v>64569197.08</v>
      </c>
      <c r="G102" s="73">
        <f t="shared" si="21"/>
        <v>245553815.66</v>
      </c>
    </row>
    <row r="103" spans="1:7" ht="15">
      <c r="A103" s="131" t="s">
        <v>316</v>
      </c>
      <c r="B103" s="73">
        <v>77098495</v>
      </c>
      <c r="C103" s="73">
        <v>13416448.34</v>
      </c>
      <c r="D103" s="73">
        <v>90514943.34</v>
      </c>
      <c r="E103" s="73">
        <v>21282093.68</v>
      </c>
      <c r="F103" s="113">
        <v>21282093.68</v>
      </c>
      <c r="G103" s="73">
        <f>D103-E103</f>
        <v>69232849.66</v>
      </c>
    </row>
    <row r="104" spans="1:7" ht="15">
      <c r="A104" s="131" t="s">
        <v>317</v>
      </c>
      <c r="B104" s="73">
        <v>13681725</v>
      </c>
      <c r="C104" s="73">
        <v>961720.68</v>
      </c>
      <c r="D104" s="73">
        <v>14643445.68</v>
      </c>
      <c r="E104" s="73">
        <v>2423648.68</v>
      </c>
      <c r="F104" s="113">
        <v>2423648.68</v>
      </c>
      <c r="G104" s="73">
        <f aca="true" t="shared" si="22" ref="G104:G111">D104-E104</f>
        <v>12219797</v>
      </c>
    </row>
    <row r="105" spans="1:7" ht="15">
      <c r="A105" s="131" t="s">
        <v>318</v>
      </c>
      <c r="B105" s="73">
        <v>39795410</v>
      </c>
      <c r="C105" s="73">
        <v>714014.92</v>
      </c>
      <c r="D105" s="73">
        <v>40509424.92</v>
      </c>
      <c r="E105" s="73">
        <v>891771.92</v>
      </c>
      <c r="F105" s="113">
        <v>891771.92</v>
      </c>
      <c r="G105" s="73">
        <f t="shared" si="22"/>
        <v>39617653</v>
      </c>
    </row>
    <row r="106" spans="1:7" ht="15">
      <c r="A106" s="131" t="s">
        <v>319</v>
      </c>
      <c r="B106" s="73">
        <v>391553</v>
      </c>
      <c r="C106" s="73">
        <v>22246.2</v>
      </c>
      <c r="D106" s="73">
        <v>413799.2</v>
      </c>
      <c r="E106" s="73">
        <v>238799.2</v>
      </c>
      <c r="F106" s="113">
        <v>238799.2</v>
      </c>
      <c r="G106" s="73">
        <f t="shared" si="22"/>
        <v>175000</v>
      </c>
    </row>
    <row r="107" spans="1:7" ht="15">
      <c r="A107" s="131" t="s">
        <v>320</v>
      </c>
      <c r="B107" s="73">
        <v>152096791</v>
      </c>
      <c r="C107" s="73">
        <v>4098442.9</v>
      </c>
      <c r="D107" s="73">
        <v>156195233.9</v>
      </c>
      <c r="E107" s="73">
        <v>39435773.9</v>
      </c>
      <c r="F107" s="113">
        <v>39435773.9</v>
      </c>
      <c r="G107" s="73">
        <f t="shared" si="22"/>
        <v>116759460</v>
      </c>
    </row>
    <row r="108" spans="1:7" ht="15">
      <c r="A108" s="131" t="s">
        <v>321</v>
      </c>
      <c r="B108" s="73">
        <v>662245</v>
      </c>
      <c r="C108" s="73">
        <v>-114900</v>
      </c>
      <c r="D108" s="73">
        <v>547345</v>
      </c>
      <c r="E108" s="73">
        <v>0</v>
      </c>
      <c r="F108" s="113">
        <v>0</v>
      </c>
      <c r="G108" s="73">
        <f t="shared" si="22"/>
        <v>547345</v>
      </c>
    </row>
    <row r="109" spans="1:7" ht="15">
      <c r="A109" s="131" t="s">
        <v>322</v>
      </c>
      <c r="B109" s="73">
        <v>4021473</v>
      </c>
      <c r="C109" s="73">
        <v>-539093.64</v>
      </c>
      <c r="D109" s="73">
        <v>3482379.36</v>
      </c>
      <c r="E109" s="73">
        <v>191582.36</v>
      </c>
      <c r="F109" s="113">
        <v>191582.36</v>
      </c>
      <c r="G109" s="73">
        <f t="shared" si="22"/>
        <v>3290797</v>
      </c>
    </row>
    <row r="110" spans="1:7" ht="15">
      <c r="A110" s="131" t="s">
        <v>323</v>
      </c>
      <c r="B110" s="73">
        <v>4383687</v>
      </c>
      <c r="C110" s="73">
        <v>-735353.66</v>
      </c>
      <c r="D110" s="73">
        <v>3648333.34</v>
      </c>
      <c r="E110" s="73">
        <v>84069.34</v>
      </c>
      <c r="F110" s="113">
        <v>84069.34</v>
      </c>
      <c r="G110" s="73">
        <f t="shared" si="22"/>
        <v>3564264</v>
      </c>
    </row>
    <row r="111" spans="1:7" ht="15">
      <c r="A111" s="131" t="s">
        <v>324</v>
      </c>
      <c r="B111" s="73">
        <v>244973</v>
      </c>
      <c r="C111" s="73">
        <v>-76865</v>
      </c>
      <c r="D111" s="73">
        <v>168108</v>
      </c>
      <c r="E111" s="73">
        <v>21458</v>
      </c>
      <c r="F111" s="113">
        <v>21458</v>
      </c>
      <c r="G111" s="73">
        <f t="shared" si="22"/>
        <v>146650</v>
      </c>
    </row>
    <row r="112" spans="1:7" ht="15">
      <c r="A112" s="136" t="s">
        <v>325</v>
      </c>
      <c r="B112" s="73">
        <f aca="true" t="shared" si="23" ref="B112:G112">SUM(B113:B121)</f>
        <v>4419810208</v>
      </c>
      <c r="C112" s="73">
        <f t="shared" si="23"/>
        <v>578777400.84</v>
      </c>
      <c r="D112" s="73">
        <f t="shared" si="23"/>
        <v>4998587608.84</v>
      </c>
      <c r="E112" s="73">
        <f t="shared" si="23"/>
        <v>1118196027.24</v>
      </c>
      <c r="F112" s="73">
        <f t="shared" si="23"/>
        <v>1118196027.24</v>
      </c>
      <c r="G112" s="73">
        <f t="shared" si="23"/>
        <v>3880391581.6000004</v>
      </c>
    </row>
    <row r="113" spans="1:7" ht="15">
      <c r="A113" s="131" t="s">
        <v>326</v>
      </c>
      <c r="B113" s="73">
        <v>0</v>
      </c>
      <c r="C113" s="73">
        <v>0</v>
      </c>
      <c r="D113" s="73">
        <v>0</v>
      </c>
      <c r="E113" s="73">
        <v>0</v>
      </c>
      <c r="F113" s="73">
        <v>0</v>
      </c>
      <c r="G113" s="73">
        <f>D113-E113</f>
        <v>0</v>
      </c>
    </row>
    <row r="114" spans="1:7" ht="15">
      <c r="A114" s="131" t="s">
        <v>327</v>
      </c>
      <c r="B114" s="73">
        <v>4413130208</v>
      </c>
      <c r="C114" s="73">
        <v>573244813.97</v>
      </c>
      <c r="D114" s="73">
        <v>4986375021.97</v>
      </c>
      <c r="E114" s="73">
        <v>1112963440.4</v>
      </c>
      <c r="F114" s="113">
        <v>1112963440.4</v>
      </c>
      <c r="G114" s="73">
        <f aca="true" t="shared" si="24" ref="G114:G121">D114-E114</f>
        <v>3873411581.57</v>
      </c>
    </row>
    <row r="115" spans="1:7" ht="15">
      <c r="A115" s="131" t="s">
        <v>328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f t="shared" si="24"/>
        <v>0</v>
      </c>
    </row>
    <row r="116" spans="1:7" ht="15">
      <c r="A116" s="138" t="s">
        <v>329</v>
      </c>
      <c r="B116" s="109">
        <v>6680000</v>
      </c>
      <c r="C116" s="109">
        <v>5532586.87</v>
      </c>
      <c r="D116" s="109">
        <v>12212586.87</v>
      </c>
      <c r="E116" s="109">
        <v>5232586.84</v>
      </c>
      <c r="F116" s="109">
        <v>5232586.84</v>
      </c>
      <c r="G116" s="109">
        <f t="shared" si="24"/>
        <v>6980000.029999999</v>
      </c>
    </row>
    <row r="117" spans="1:7" ht="15">
      <c r="A117" s="131" t="s">
        <v>330</v>
      </c>
      <c r="B117" s="73">
        <v>0</v>
      </c>
      <c r="C117" s="73">
        <v>0</v>
      </c>
      <c r="D117" s="73">
        <v>0</v>
      </c>
      <c r="E117" s="73">
        <v>0</v>
      </c>
      <c r="F117" s="73">
        <v>0</v>
      </c>
      <c r="G117" s="73">
        <f t="shared" si="24"/>
        <v>0</v>
      </c>
    </row>
    <row r="118" spans="1:7" ht="15">
      <c r="A118" s="131" t="s">
        <v>331</v>
      </c>
      <c r="B118" s="73">
        <v>0</v>
      </c>
      <c r="C118" s="73">
        <v>0</v>
      </c>
      <c r="D118" s="73">
        <v>0</v>
      </c>
      <c r="E118" s="73">
        <v>0</v>
      </c>
      <c r="F118" s="73">
        <v>0</v>
      </c>
      <c r="G118" s="73">
        <f t="shared" si="24"/>
        <v>0</v>
      </c>
    </row>
    <row r="119" spans="1:7" ht="15">
      <c r="A119" s="131" t="s">
        <v>332</v>
      </c>
      <c r="B119" s="73">
        <v>0</v>
      </c>
      <c r="C119" s="73">
        <v>0</v>
      </c>
      <c r="D119" s="73">
        <v>0</v>
      </c>
      <c r="E119" s="73">
        <v>0</v>
      </c>
      <c r="F119" s="73">
        <v>0</v>
      </c>
      <c r="G119" s="73">
        <f t="shared" si="24"/>
        <v>0</v>
      </c>
    </row>
    <row r="120" spans="1:7" ht="15">
      <c r="A120" s="131" t="s">
        <v>333</v>
      </c>
      <c r="B120" s="73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f t="shared" si="24"/>
        <v>0</v>
      </c>
    </row>
    <row r="121" spans="1:7" ht="15">
      <c r="A121" s="131" t="s">
        <v>334</v>
      </c>
      <c r="B121" s="73">
        <v>0</v>
      </c>
      <c r="C121" s="73">
        <v>0</v>
      </c>
      <c r="D121" s="73">
        <v>0</v>
      </c>
      <c r="E121" s="73">
        <v>0</v>
      </c>
      <c r="F121" s="73">
        <v>0</v>
      </c>
      <c r="G121" s="73">
        <f t="shared" si="24"/>
        <v>0</v>
      </c>
    </row>
    <row r="122" spans="1:7" ht="15">
      <c r="A122" s="136" t="s">
        <v>335</v>
      </c>
      <c r="B122" s="73">
        <f aca="true" t="shared" si="25" ref="B122:G122">SUM(B123:B131)</f>
        <v>138098391</v>
      </c>
      <c r="C122" s="73">
        <f t="shared" si="25"/>
        <v>20726864.39</v>
      </c>
      <c r="D122" s="73">
        <f t="shared" si="25"/>
        <v>158825255.39</v>
      </c>
      <c r="E122" s="73">
        <f t="shared" si="25"/>
        <v>23676227.36</v>
      </c>
      <c r="F122" s="73">
        <f t="shared" si="25"/>
        <v>23676227.36</v>
      </c>
      <c r="G122" s="73">
        <f t="shared" si="25"/>
        <v>135149028.03</v>
      </c>
    </row>
    <row r="123" spans="1:7" ht="15">
      <c r="A123" s="131" t="s">
        <v>336</v>
      </c>
      <c r="B123" s="73">
        <v>13517480</v>
      </c>
      <c r="C123" s="73">
        <v>3721196.26</v>
      </c>
      <c r="D123" s="73">
        <v>17238676.26</v>
      </c>
      <c r="E123" s="73">
        <v>1999643.26</v>
      </c>
      <c r="F123" s="113">
        <v>1999643.26</v>
      </c>
      <c r="G123" s="73">
        <f>D123-E123</f>
        <v>15239033.000000002</v>
      </c>
    </row>
    <row r="124" spans="1:7" ht="15">
      <c r="A124" s="131" t="s">
        <v>337</v>
      </c>
      <c r="B124" s="73">
        <v>5352500</v>
      </c>
      <c r="C124" s="73">
        <v>1037267</v>
      </c>
      <c r="D124" s="73">
        <v>6389767</v>
      </c>
      <c r="E124" s="73">
        <v>767572</v>
      </c>
      <c r="F124" s="113">
        <v>767572</v>
      </c>
      <c r="G124" s="73">
        <f aca="true" t="shared" si="26" ref="G124:G131">D124-E124</f>
        <v>5622195</v>
      </c>
    </row>
    <row r="125" spans="1:7" ht="15">
      <c r="A125" s="131" t="s">
        <v>338</v>
      </c>
      <c r="B125" s="73">
        <v>2253500</v>
      </c>
      <c r="C125" s="73">
        <v>2205366.64</v>
      </c>
      <c r="D125" s="73">
        <v>4458866.64</v>
      </c>
      <c r="E125" s="73">
        <v>182066.64</v>
      </c>
      <c r="F125" s="113">
        <v>182066.64</v>
      </c>
      <c r="G125" s="73">
        <f t="shared" si="26"/>
        <v>4276800</v>
      </c>
    </row>
    <row r="126" spans="1:7" ht="15">
      <c r="A126" s="131" t="s">
        <v>339</v>
      </c>
      <c r="B126" s="73">
        <v>99669499</v>
      </c>
      <c r="C126" s="73">
        <v>-5351536</v>
      </c>
      <c r="D126" s="73">
        <v>94317963</v>
      </c>
      <c r="E126" s="73">
        <v>9330880</v>
      </c>
      <c r="F126" s="113">
        <v>9330880</v>
      </c>
      <c r="G126" s="73">
        <f t="shared" si="26"/>
        <v>84987083</v>
      </c>
    </row>
    <row r="127" spans="1:7" ht="15">
      <c r="A127" s="131" t="s">
        <v>340</v>
      </c>
      <c r="B127" s="73">
        <v>4200</v>
      </c>
      <c r="C127" s="73">
        <v>2959329.24</v>
      </c>
      <c r="D127" s="73">
        <v>2963529.24</v>
      </c>
      <c r="E127" s="73">
        <v>2959329.24</v>
      </c>
      <c r="F127" s="113">
        <v>2959329.24</v>
      </c>
      <c r="G127" s="73">
        <f t="shared" si="26"/>
        <v>4200</v>
      </c>
    </row>
    <row r="128" spans="1:7" ht="15">
      <c r="A128" s="131" t="s">
        <v>341</v>
      </c>
      <c r="B128" s="73">
        <v>12165942</v>
      </c>
      <c r="C128" s="73">
        <v>3557096.25</v>
      </c>
      <c r="D128" s="73">
        <v>15723038.25</v>
      </c>
      <c r="E128" s="73">
        <v>5857096.22</v>
      </c>
      <c r="F128" s="113">
        <v>5857096.22</v>
      </c>
      <c r="G128" s="73">
        <f t="shared" si="26"/>
        <v>9865942.030000001</v>
      </c>
    </row>
    <row r="129" spans="1:7" ht="15">
      <c r="A129" s="131" t="s">
        <v>342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f t="shared" si="26"/>
        <v>0</v>
      </c>
    </row>
    <row r="130" spans="1:7" ht="15">
      <c r="A130" s="131" t="s">
        <v>343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f t="shared" si="26"/>
        <v>0</v>
      </c>
    </row>
    <row r="131" spans="1:7" ht="15">
      <c r="A131" s="131" t="s">
        <v>344</v>
      </c>
      <c r="B131" s="73">
        <v>5135270</v>
      </c>
      <c r="C131" s="73">
        <v>12598145</v>
      </c>
      <c r="D131" s="73">
        <v>17733415</v>
      </c>
      <c r="E131" s="73">
        <v>2579640</v>
      </c>
      <c r="F131" s="113">
        <v>2579640</v>
      </c>
      <c r="G131" s="73">
        <f t="shared" si="26"/>
        <v>15153775</v>
      </c>
    </row>
    <row r="132" spans="1:7" ht="15">
      <c r="A132" s="136" t="s">
        <v>345</v>
      </c>
      <c r="B132" s="73">
        <f aca="true" t="shared" si="27" ref="B132:G132">SUM(B133:B135)</f>
        <v>507048512</v>
      </c>
      <c r="C132" s="73">
        <f t="shared" si="27"/>
        <v>17869509.41</v>
      </c>
      <c r="D132" s="73">
        <f t="shared" si="27"/>
        <v>524918021.41</v>
      </c>
      <c r="E132" s="73">
        <f t="shared" si="27"/>
        <v>18244948.7</v>
      </c>
      <c r="F132" s="73">
        <f t="shared" si="27"/>
        <v>18244948.7</v>
      </c>
      <c r="G132" s="73">
        <f t="shared" si="27"/>
        <v>506673072.71000004</v>
      </c>
    </row>
    <row r="133" spans="1:7" ht="15">
      <c r="A133" s="131" t="s">
        <v>346</v>
      </c>
      <c r="B133" s="73">
        <v>420287971</v>
      </c>
      <c r="C133" s="73">
        <v>19169509.41</v>
      </c>
      <c r="D133" s="73">
        <v>439457480.41</v>
      </c>
      <c r="E133" s="73">
        <v>18244948.7</v>
      </c>
      <c r="F133" s="113">
        <v>18244948.7</v>
      </c>
      <c r="G133" s="73">
        <f>D133-E133</f>
        <v>421212531.71000004</v>
      </c>
    </row>
    <row r="134" spans="1:7" ht="15">
      <c r="A134" s="131" t="s">
        <v>347</v>
      </c>
      <c r="B134" s="73">
        <v>86760541</v>
      </c>
      <c r="C134" s="73">
        <v>-1300000</v>
      </c>
      <c r="D134" s="73">
        <v>85460541</v>
      </c>
      <c r="E134" s="73">
        <v>0</v>
      </c>
      <c r="F134" s="113">
        <v>0</v>
      </c>
      <c r="G134" s="73">
        <f>D134-E134</f>
        <v>85460541</v>
      </c>
    </row>
    <row r="135" spans="1:7" ht="15">
      <c r="A135" s="131" t="s">
        <v>348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f>D135-E135</f>
        <v>0</v>
      </c>
    </row>
    <row r="136" spans="1:7" ht="15">
      <c r="A136" s="136" t="s">
        <v>349</v>
      </c>
      <c r="B136" s="73">
        <f aca="true" t="shared" si="28" ref="B136:G136">SUM(B137:B141,B143:B144)</f>
        <v>0</v>
      </c>
      <c r="C136" s="113">
        <f t="shared" si="28"/>
        <v>0</v>
      </c>
      <c r="D136" s="73">
        <f t="shared" si="28"/>
        <v>0</v>
      </c>
      <c r="E136" s="73">
        <f t="shared" si="28"/>
        <v>0</v>
      </c>
      <c r="F136" s="73">
        <f t="shared" si="28"/>
        <v>0</v>
      </c>
      <c r="G136" s="73">
        <f t="shared" si="28"/>
        <v>0</v>
      </c>
    </row>
    <row r="137" spans="1:7" ht="15">
      <c r="A137" s="131" t="s">
        <v>350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f>D137-E137</f>
        <v>0</v>
      </c>
    </row>
    <row r="138" spans="1:7" ht="15">
      <c r="A138" s="131" t="s">
        <v>351</v>
      </c>
      <c r="B138" s="73">
        <v>0</v>
      </c>
      <c r="C138" s="73">
        <v>0</v>
      </c>
      <c r="D138" s="73">
        <v>0</v>
      </c>
      <c r="E138" s="73">
        <v>0</v>
      </c>
      <c r="F138" s="73">
        <v>0</v>
      </c>
      <c r="G138" s="73">
        <f aca="true" t="shared" si="29" ref="G138:G144">D138-E138</f>
        <v>0</v>
      </c>
    </row>
    <row r="139" spans="1:7" ht="15">
      <c r="A139" s="131" t="s">
        <v>352</v>
      </c>
      <c r="B139" s="73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f t="shared" si="29"/>
        <v>0</v>
      </c>
    </row>
    <row r="140" spans="1:7" ht="15">
      <c r="A140" s="131" t="s">
        <v>353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f t="shared" si="29"/>
        <v>0</v>
      </c>
    </row>
    <row r="141" spans="1:7" ht="15">
      <c r="A141" s="131" t="s">
        <v>354</v>
      </c>
      <c r="B141" s="73">
        <v>0</v>
      </c>
      <c r="C141" s="73">
        <v>0</v>
      </c>
      <c r="D141" s="73">
        <v>0</v>
      </c>
      <c r="E141" s="73">
        <v>0</v>
      </c>
      <c r="F141" s="73">
        <v>0</v>
      </c>
      <c r="G141" s="73">
        <f t="shared" si="29"/>
        <v>0</v>
      </c>
    </row>
    <row r="142" spans="1:7" ht="15">
      <c r="A142" s="131" t="s">
        <v>355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f t="shared" si="29"/>
        <v>0</v>
      </c>
    </row>
    <row r="143" spans="1:7" ht="15">
      <c r="A143" s="131" t="s">
        <v>356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f t="shared" si="29"/>
        <v>0</v>
      </c>
    </row>
    <row r="144" spans="1:7" ht="15">
      <c r="A144" s="131" t="s">
        <v>357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f t="shared" si="29"/>
        <v>0</v>
      </c>
    </row>
    <row r="145" spans="1:7" ht="15">
      <c r="A145" s="136" t="s">
        <v>358</v>
      </c>
      <c r="B145" s="73">
        <f aca="true" t="shared" si="30" ref="B145:G145">SUM(B146:B148)</f>
        <v>2225628046</v>
      </c>
      <c r="C145" s="73">
        <f t="shared" si="30"/>
        <v>-50632341.19</v>
      </c>
      <c r="D145" s="73">
        <f t="shared" si="30"/>
        <v>2174995704.81</v>
      </c>
      <c r="E145" s="73">
        <f t="shared" si="30"/>
        <v>603923759.48</v>
      </c>
      <c r="F145" s="73">
        <f t="shared" si="30"/>
        <v>603923759.48</v>
      </c>
      <c r="G145" s="73">
        <f t="shared" si="30"/>
        <v>1571071945.33</v>
      </c>
    </row>
    <row r="146" spans="1:7" ht="15">
      <c r="A146" s="131" t="s">
        <v>359</v>
      </c>
      <c r="B146" s="73">
        <v>0</v>
      </c>
      <c r="C146" s="73">
        <v>0</v>
      </c>
      <c r="D146" s="73">
        <v>0</v>
      </c>
      <c r="E146" s="73">
        <v>0</v>
      </c>
      <c r="F146" s="73">
        <v>0</v>
      </c>
      <c r="G146" s="73">
        <f>D146-E146</f>
        <v>0</v>
      </c>
    </row>
    <row r="147" spans="1:7" ht="15">
      <c r="A147" s="131" t="s">
        <v>360</v>
      </c>
      <c r="B147" s="73">
        <v>2123325854</v>
      </c>
      <c r="C147" s="73">
        <v>-67386356</v>
      </c>
      <c r="D147" s="73">
        <v>2055939498</v>
      </c>
      <c r="E147" s="73">
        <v>574407474</v>
      </c>
      <c r="F147" s="113">
        <v>574407474</v>
      </c>
      <c r="G147" s="113">
        <f>D147-E147</f>
        <v>1481532024</v>
      </c>
    </row>
    <row r="148" spans="1:7" ht="15">
      <c r="A148" s="131" t="s">
        <v>361</v>
      </c>
      <c r="B148" s="73">
        <v>102302192</v>
      </c>
      <c r="C148" s="73">
        <v>16754014.81</v>
      </c>
      <c r="D148" s="73">
        <v>119056206.81</v>
      </c>
      <c r="E148" s="73">
        <v>29516285.48</v>
      </c>
      <c r="F148" s="113">
        <v>29516285.48</v>
      </c>
      <c r="G148" s="73">
        <f>D148-E148</f>
        <v>89539921.33</v>
      </c>
    </row>
    <row r="149" spans="1:7" ht="15">
      <c r="A149" s="136" t="s">
        <v>362</v>
      </c>
      <c r="B149" s="73">
        <f aca="true" t="shared" si="31" ref="B149:G149">SUM(B150:B156)</f>
        <v>0</v>
      </c>
      <c r="C149" s="73">
        <f t="shared" si="31"/>
        <v>0</v>
      </c>
      <c r="D149" s="73">
        <f t="shared" si="31"/>
        <v>0</v>
      </c>
      <c r="E149" s="73">
        <f t="shared" si="31"/>
        <v>0</v>
      </c>
      <c r="F149" s="73">
        <f t="shared" si="31"/>
        <v>0</v>
      </c>
      <c r="G149" s="73">
        <f t="shared" si="31"/>
        <v>0</v>
      </c>
    </row>
    <row r="150" spans="1:7" ht="15">
      <c r="A150" s="131" t="s">
        <v>363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f>D150-E150</f>
        <v>0</v>
      </c>
    </row>
    <row r="151" spans="1:7" ht="15">
      <c r="A151" s="131" t="s">
        <v>364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f aca="true" t="shared" si="32" ref="G151:G156">D151-E151</f>
        <v>0</v>
      </c>
    </row>
    <row r="152" spans="1:7" ht="15">
      <c r="A152" s="131" t="s">
        <v>365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f t="shared" si="32"/>
        <v>0</v>
      </c>
    </row>
    <row r="153" spans="1:7" ht="15">
      <c r="A153" s="137" t="s">
        <v>366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f t="shared" si="32"/>
        <v>0</v>
      </c>
    </row>
    <row r="154" spans="1:7" ht="15">
      <c r="A154" s="131" t="s">
        <v>367</v>
      </c>
      <c r="B154" s="73">
        <v>0</v>
      </c>
      <c r="C154" s="73">
        <v>0</v>
      </c>
      <c r="D154" s="73">
        <v>0</v>
      </c>
      <c r="E154" s="73">
        <v>0</v>
      </c>
      <c r="F154" s="73">
        <v>0</v>
      </c>
      <c r="G154" s="73">
        <f t="shared" si="32"/>
        <v>0</v>
      </c>
    </row>
    <row r="155" spans="1:7" ht="15">
      <c r="A155" s="131" t="s">
        <v>368</v>
      </c>
      <c r="B155" s="73">
        <v>0</v>
      </c>
      <c r="C155" s="73">
        <v>0</v>
      </c>
      <c r="D155" s="73">
        <v>0</v>
      </c>
      <c r="E155" s="73">
        <v>0</v>
      </c>
      <c r="F155" s="73">
        <v>0</v>
      </c>
      <c r="G155" s="73">
        <f t="shared" si="32"/>
        <v>0</v>
      </c>
    </row>
    <row r="156" spans="1:7" ht="15">
      <c r="A156" s="131" t="s">
        <v>369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f t="shared" si="32"/>
        <v>0</v>
      </c>
    </row>
    <row r="157" spans="1:7" ht="15">
      <c r="A157" s="21"/>
      <c r="B157" s="74"/>
      <c r="C157" s="74"/>
      <c r="D157" s="74"/>
      <c r="E157" s="74"/>
      <c r="F157" s="74"/>
      <c r="G157" s="74"/>
    </row>
    <row r="158" spans="1:7" ht="15">
      <c r="A158" s="139" t="s">
        <v>371</v>
      </c>
      <c r="B158" s="75">
        <f aca="true" t="shared" si="33" ref="B158:G158">B9+B83</f>
        <v>25773631741</v>
      </c>
      <c r="C158" s="75">
        <f t="shared" si="33"/>
        <v>1258852936.3400002</v>
      </c>
      <c r="D158" s="75">
        <f t="shared" si="33"/>
        <v>27032484677.34</v>
      </c>
      <c r="E158" s="75">
        <f t="shared" si="33"/>
        <v>6323015092.559999</v>
      </c>
      <c r="F158" s="75">
        <f t="shared" si="33"/>
        <v>6307791614.51</v>
      </c>
      <c r="G158" s="75">
        <f t="shared" si="33"/>
        <v>20709469584.78</v>
      </c>
    </row>
    <row r="159" spans="1:256" ht="15">
      <c r="A159" s="4"/>
      <c r="B159" s="103"/>
      <c r="C159" s="103"/>
      <c r="D159" s="103"/>
      <c r="E159" s="103"/>
      <c r="F159" s="103"/>
      <c r="G159" s="103"/>
      <c r="IV159" s="108"/>
    </row>
    <row r="160" spans="2:7" ht="15">
      <c r="B160" s="77"/>
      <c r="C160" s="77"/>
      <c r="D160" s="77"/>
      <c r="E160" s="77"/>
      <c r="F160" s="77"/>
      <c r="G160" s="77"/>
    </row>
    <row r="161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B9:B66 B68:G158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4" r:id="rId1"/>
  <ignoredErrors>
    <ignoredError sqref="B9:C9 G11:G12 G19:G27 B18:F18 B28:F28 G29:G37 B38:F38 B48:F48 G55:G57 G59:G62 G63:G67 B70:F70 B74 G71:G73 B83 G96:G101 B102:F102 G103:G111 G113:G119 B112:F112 B122:F122 G120:G121 G123:G131 B132:F132 B136:C136 G134:G135 G137:G138 G139:G144 G146:G147 B145:F145 B149:F149 G150:G156 B158:G158 G68:G69 B62:D62 B92 B10 D10:E10 D9:G9 E62:F62 G10 G13:G17 D136:F136 D74:F74 E83:G83 C92 G93 G86:G91 C83 G78:G81 G75:G77 C74 C82:G82 G85 D83 D92:E92 G84 G95 G148" unlockedFormula="1"/>
    <ignoredError sqref="G18 G28 G38 G39:G54 G58 B58:C58 G70 G102 G122 G133 G132 G136 G145 G149 G112 E58:F58 F92:G92 G74 B84 C84:F84" formula="1" unlockedFormula="1"/>
    <ignoredError sqref="B84 C84:F84" formulaRange="1" unlockedFormula="1"/>
    <ignoredError sqref="D5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80" zoomScaleNormal="80" zoomScalePageLayoutView="0" workbookViewId="0" topLeftCell="A1">
      <selection activeCell="B22" sqref="B22"/>
    </sheetView>
  </sheetViews>
  <sheetFormatPr defaultColWidth="0.85546875" defaultRowHeight="15" zeroHeight="1"/>
  <cols>
    <col min="1" max="1" width="59.28125" style="32" customWidth="1"/>
    <col min="2" max="6" width="20.7109375" style="32" customWidth="1"/>
    <col min="7" max="7" width="18.28125" style="32" customWidth="1"/>
    <col min="8" max="255" width="11.421875" style="0" hidden="1" customWidth="1"/>
  </cols>
  <sheetData>
    <row r="1" spans="1:7" ht="21">
      <c r="A1" s="170" t="s">
        <v>372</v>
      </c>
      <c r="B1" s="170"/>
      <c r="C1" s="170"/>
      <c r="D1" s="170"/>
      <c r="E1" s="170"/>
      <c r="F1" s="170"/>
      <c r="G1" s="170"/>
    </row>
    <row r="2" spans="1:7" ht="15">
      <c r="A2" s="148" t="s">
        <v>286</v>
      </c>
      <c r="B2" s="149"/>
      <c r="C2" s="149"/>
      <c r="D2" s="149"/>
      <c r="E2" s="149"/>
      <c r="F2" s="149"/>
      <c r="G2" s="150"/>
    </row>
    <row r="3" spans="1:7" ht="15">
      <c r="A3" s="151" t="s">
        <v>288</v>
      </c>
      <c r="B3" s="152"/>
      <c r="C3" s="152"/>
      <c r="D3" s="152"/>
      <c r="E3" s="152"/>
      <c r="F3" s="152"/>
      <c r="G3" s="153"/>
    </row>
    <row r="4" spans="1:7" ht="15">
      <c r="A4" s="151" t="s">
        <v>373</v>
      </c>
      <c r="B4" s="152"/>
      <c r="C4" s="152"/>
      <c r="D4" s="152"/>
      <c r="E4" s="152"/>
      <c r="F4" s="152"/>
      <c r="G4" s="153"/>
    </row>
    <row r="5" spans="1:7" ht="15">
      <c r="A5" s="154" t="s">
        <v>482</v>
      </c>
      <c r="B5" s="155"/>
      <c r="C5" s="155"/>
      <c r="D5" s="155"/>
      <c r="E5" s="155"/>
      <c r="F5" s="155"/>
      <c r="G5" s="156"/>
    </row>
    <row r="6" spans="1:7" ht="15">
      <c r="A6" s="157" t="s">
        <v>2</v>
      </c>
      <c r="B6" s="158"/>
      <c r="C6" s="158"/>
      <c r="D6" s="158"/>
      <c r="E6" s="158"/>
      <c r="F6" s="158"/>
      <c r="G6" s="159"/>
    </row>
    <row r="7" spans="1:7" ht="15">
      <c r="A7" s="164" t="s">
        <v>4</v>
      </c>
      <c r="B7" s="166" t="s">
        <v>290</v>
      </c>
      <c r="C7" s="166"/>
      <c r="D7" s="166"/>
      <c r="E7" s="166"/>
      <c r="F7" s="166"/>
      <c r="G7" s="169" t="s">
        <v>291</v>
      </c>
    </row>
    <row r="8" spans="1:7" ht="30">
      <c r="A8" s="165"/>
      <c r="B8" s="17" t="s">
        <v>292</v>
      </c>
      <c r="C8" s="6" t="s">
        <v>223</v>
      </c>
      <c r="D8" s="17" t="s">
        <v>224</v>
      </c>
      <c r="E8" s="17" t="s">
        <v>182</v>
      </c>
      <c r="F8" s="17" t="s">
        <v>198</v>
      </c>
      <c r="G8" s="168"/>
    </row>
    <row r="9" spans="1:7" ht="15">
      <c r="A9" s="130" t="s">
        <v>374</v>
      </c>
      <c r="B9" s="93">
        <f>SUM(B10:GASTO_NE_FIN_01)</f>
        <v>12642863446</v>
      </c>
      <c r="C9" s="93">
        <f>SUM(C10:GASTO_NE_FIN_02)</f>
        <v>656852938.14</v>
      </c>
      <c r="D9" s="93">
        <f>SUM(D10:GASTO_NE_FIN_03)</f>
        <v>13299716384.14</v>
      </c>
      <c r="E9" s="93">
        <f>SUM(E10:GASTO_NE_FIN_04)</f>
        <v>3220217988.3300004</v>
      </c>
      <c r="F9" s="93">
        <f>SUM(F10:cvbcvb)</f>
        <v>3204994510.28</v>
      </c>
      <c r="G9" s="93">
        <f>SUM(G10:GASTO_NE_FIN_06)</f>
        <v>10079498395.81</v>
      </c>
    </row>
    <row r="10" spans="1:7" ht="30">
      <c r="A10" s="140" t="s">
        <v>455</v>
      </c>
      <c r="B10" s="73">
        <v>189749318</v>
      </c>
      <c r="C10" s="73">
        <v>147597552.31</v>
      </c>
      <c r="D10" s="73">
        <v>337346870.31</v>
      </c>
      <c r="E10" s="73">
        <v>150146011.78</v>
      </c>
      <c r="F10" s="113">
        <v>149967872.44</v>
      </c>
      <c r="G10" s="73">
        <f>+D10-E10</f>
        <v>187200858.53</v>
      </c>
    </row>
    <row r="11" spans="1:7" ht="15">
      <c r="A11" s="129" t="s">
        <v>456</v>
      </c>
      <c r="B11" s="73">
        <v>440374632</v>
      </c>
      <c r="C11" s="73">
        <v>-11140130.45</v>
      </c>
      <c r="D11" s="73">
        <v>429234501.55</v>
      </c>
      <c r="E11" s="73">
        <v>88752078.42</v>
      </c>
      <c r="F11" s="113">
        <v>88363181.9</v>
      </c>
      <c r="G11" s="111">
        <f aca="true" t="shared" si="0" ref="G11:G35">+D11-E11</f>
        <v>340482423.13</v>
      </c>
    </row>
    <row r="12" spans="1:7" ht="15">
      <c r="A12" s="129" t="s">
        <v>457</v>
      </c>
      <c r="B12" s="73">
        <v>815423966</v>
      </c>
      <c r="C12" s="73">
        <v>5009319.46</v>
      </c>
      <c r="D12" s="73">
        <v>820433285.46</v>
      </c>
      <c r="E12" s="73">
        <v>87248030.74</v>
      </c>
      <c r="F12" s="113">
        <v>86748093.68</v>
      </c>
      <c r="G12" s="111">
        <f t="shared" si="0"/>
        <v>733185254.72</v>
      </c>
    </row>
    <row r="13" spans="1:7" ht="30">
      <c r="A13" s="140" t="s">
        <v>458</v>
      </c>
      <c r="B13" s="73">
        <v>47591229</v>
      </c>
      <c r="C13" s="73">
        <v>-6113.1</v>
      </c>
      <c r="D13" s="73">
        <v>47585115.9</v>
      </c>
      <c r="E13" s="73">
        <v>7833090.05</v>
      </c>
      <c r="F13" s="113">
        <v>7776095.99</v>
      </c>
      <c r="G13" s="111">
        <f t="shared" si="0"/>
        <v>39752025.85</v>
      </c>
    </row>
    <row r="14" spans="1:7" ht="15">
      <c r="A14" s="129" t="s">
        <v>433</v>
      </c>
      <c r="B14" s="73">
        <v>606609125</v>
      </c>
      <c r="C14" s="73">
        <v>-52825662.06</v>
      </c>
      <c r="D14" s="73">
        <v>553783462.94</v>
      </c>
      <c r="E14" s="73">
        <v>91486824.8</v>
      </c>
      <c r="F14" s="113">
        <v>90872434.38</v>
      </c>
      <c r="G14" s="111">
        <f t="shared" si="0"/>
        <v>462296638.14000005</v>
      </c>
    </row>
    <row r="15" spans="1:7" ht="15">
      <c r="A15" s="129" t="s">
        <v>434</v>
      </c>
      <c r="B15" s="73">
        <v>355965851</v>
      </c>
      <c r="C15" s="73">
        <v>-389935.56</v>
      </c>
      <c r="D15" s="73">
        <v>355575915.44</v>
      </c>
      <c r="E15" s="73">
        <v>57466087.43</v>
      </c>
      <c r="F15" s="113">
        <v>57075756.61</v>
      </c>
      <c r="G15" s="111">
        <f t="shared" si="0"/>
        <v>298109828.01</v>
      </c>
    </row>
    <row r="16" spans="1:7" ht="15">
      <c r="A16" s="140" t="s">
        <v>459</v>
      </c>
      <c r="B16" s="73">
        <v>408225685</v>
      </c>
      <c r="C16" s="73">
        <v>73577305.61</v>
      </c>
      <c r="D16" s="73">
        <v>481802990.61</v>
      </c>
      <c r="E16" s="73">
        <v>95394249.96</v>
      </c>
      <c r="F16" s="113">
        <v>85320152.74</v>
      </c>
      <c r="G16" s="111">
        <f t="shared" si="0"/>
        <v>386408740.65000004</v>
      </c>
    </row>
    <row r="17" spans="1:7" ht="15">
      <c r="A17" s="129" t="s">
        <v>435</v>
      </c>
      <c r="B17" s="73">
        <v>87144953</v>
      </c>
      <c r="C17" s="73">
        <v>580270.69</v>
      </c>
      <c r="D17" s="73">
        <v>87725223.69</v>
      </c>
      <c r="E17" s="73">
        <v>7869066.07</v>
      </c>
      <c r="F17" s="113">
        <v>7809707.77</v>
      </c>
      <c r="G17" s="111">
        <f t="shared" si="0"/>
        <v>79856157.62</v>
      </c>
    </row>
    <row r="18" spans="1:7" ht="15">
      <c r="A18" s="129" t="s">
        <v>460</v>
      </c>
      <c r="B18" s="73">
        <v>176074653</v>
      </c>
      <c r="C18" s="73">
        <v>30310172.75</v>
      </c>
      <c r="D18" s="73">
        <v>206384825.75</v>
      </c>
      <c r="E18" s="73">
        <v>24780277.72</v>
      </c>
      <c r="F18" s="113">
        <v>24675003.61</v>
      </c>
      <c r="G18" s="111">
        <f t="shared" si="0"/>
        <v>181604548.03</v>
      </c>
    </row>
    <row r="19" spans="1:7" ht="15">
      <c r="A19" s="129" t="s">
        <v>461</v>
      </c>
      <c r="B19" s="73">
        <v>251547722</v>
      </c>
      <c r="C19" s="73">
        <v>8243735.1</v>
      </c>
      <c r="D19" s="73">
        <v>259791457.1</v>
      </c>
      <c r="E19" s="73">
        <v>39645206.63</v>
      </c>
      <c r="F19" s="113">
        <v>39518840.92</v>
      </c>
      <c r="G19" s="111">
        <f t="shared" si="0"/>
        <v>220146250.47</v>
      </c>
    </row>
    <row r="20" spans="1:7" ht="15">
      <c r="A20" s="129" t="s">
        <v>462</v>
      </c>
      <c r="B20" s="73">
        <v>20412266</v>
      </c>
      <c r="C20" s="73">
        <v>25200</v>
      </c>
      <c r="D20" s="73">
        <v>20437466</v>
      </c>
      <c r="E20" s="73">
        <v>3191700.15</v>
      </c>
      <c r="F20" s="113">
        <v>3167627.53</v>
      </c>
      <c r="G20" s="111">
        <f t="shared" si="0"/>
        <v>17245765.85</v>
      </c>
    </row>
    <row r="21" spans="1:7" ht="30">
      <c r="A21" s="140" t="s">
        <v>463</v>
      </c>
      <c r="B21" s="73">
        <v>122939434</v>
      </c>
      <c r="C21" s="73">
        <v>74663319.05</v>
      </c>
      <c r="D21" s="73">
        <v>197602753.05</v>
      </c>
      <c r="E21" s="73">
        <v>12457729.08</v>
      </c>
      <c r="F21" s="113">
        <v>12421113.91</v>
      </c>
      <c r="G21" s="111">
        <f t="shared" si="0"/>
        <v>185145023.97</v>
      </c>
    </row>
    <row r="22" spans="1:7" ht="15">
      <c r="A22" s="129" t="s">
        <v>436</v>
      </c>
      <c r="B22" s="73">
        <v>83535536</v>
      </c>
      <c r="C22" s="73">
        <v>142545.34</v>
      </c>
      <c r="D22" s="73">
        <v>83678081.34</v>
      </c>
      <c r="E22" s="73">
        <v>13113976.63</v>
      </c>
      <c r="F22" s="113">
        <v>13059811.24</v>
      </c>
      <c r="G22" s="111">
        <f t="shared" si="0"/>
        <v>70564104.71000001</v>
      </c>
    </row>
    <row r="23" spans="1:7" ht="15">
      <c r="A23" s="129" t="s">
        <v>464</v>
      </c>
      <c r="B23" s="73">
        <v>669806713</v>
      </c>
      <c r="C23" s="73">
        <v>168086652.35</v>
      </c>
      <c r="D23" s="73">
        <v>837893365.35</v>
      </c>
      <c r="E23" s="73">
        <v>271455741.86</v>
      </c>
      <c r="F23" s="113">
        <v>270484648.37</v>
      </c>
      <c r="G23" s="111">
        <f t="shared" si="0"/>
        <v>566437623.49</v>
      </c>
    </row>
    <row r="24" spans="1:7" ht="15">
      <c r="A24" s="129" t="s">
        <v>437</v>
      </c>
      <c r="B24" s="73">
        <v>93894396</v>
      </c>
      <c r="C24" s="73">
        <v>-20678443.93</v>
      </c>
      <c r="D24" s="73">
        <v>73215952.07</v>
      </c>
      <c r="E24" s="73">
        <v>29977071.35</v>
      </c>
      <c r="F24" s="113">
        <v>29906216.51</v>
      </c>
      <c r="G24" s="111">
        <f t="shared" si="0"/>
        <v>43238880.71999999</v>
      </c>
    </row>
    <row r="25" spans="1:7" ht="15">
      <c r="A25" s="129" t="s">
        <v>438</v>
      </c>
      <c r="B25" s="73">
        <v>66943564</v>
      </c>
      <c r="C25" s="73">
        <v>22327448.66</v>
      </c>
      <c r="D25" s="73">
        <v>89271012.66</v>
      </c>
      <c r="E25" s="73">
        <v>19078848.34</v>
      </c>
      <c r="F25" s="113">
        <v>18985121.45</v>
      </c>
      <c r="G25" s="111">
        <f t="shared" si="0"/>
        <v>70192164.32</v>
      </c>
    </row>
    <row r="26" spans="1:7" ht="15">
      <c r="A26" s="129" t="s">
        <v>465</v>
      </c>
      <c r="B26" s="73">
        <v>31968744</v>
      </c>
      <c r="C26" s="73">
        <v>185521.54</v>
      </c>
      <c r="D26" s="73">
        <v>32154265.54</v>
      </c>
      <c r="E26" s="73">
        <v>5705545.42</v>
      </c>
      <c r="F26" s="113">
        <v>5682273.14</v>
      </c>
      <c r="G26" s="111">
        <f t="shared" si="0"/>
        <v>26448720.119999997</v>
      </c>
    </row>
    <row r="27" spans="1:7" ht="15">
      <c r="A27" s="129" t="s">
        <v>439</v>
      </c>
      <c r="B27" s="73">
        <v>425255448</v>
      </c>
      <c r="C27" s="73">
        <v>5687485.39</v>
      </c>
      <c r="D27" s="73">
        <v>430942933.39</v>
      </c>
      <c r="E27" s="73">
        <v>72647297.36</v>
      </c>
      <c r="F27" s="113">
        <v>72087723.17</v>
      </c>
      <c r="G27" s="111">
        <f t="shared" si="0"/>
        <v>358295636.03</v>
      </c>
    </row>
    <row r="28" spans="1:7" ht="15">
      <c r="A28" s="129" t="s">
        <v>453</v>
      </c>
      <c r="B28" s="73">
        <v>6146580</v>
      </c>
      <c r="C28" s="73">
        <v>0</v>
      </c>
      <c r="D28" s="73">
        <v>6146580</v>
      </c>
      <c r="E28" s="73">
        <v>0</v>
      </c>
      <c r="F28" s="73">
        <v>0</v>
      </c>
      <c r="G28" s="111">
        <f t="shared" si="0"/>
        <v>6146580</v>
      </c>
    </row>
    <row r="29" spans="1:7" ht="15">
      <c r="A29" s="129" t="s">
        <v>440</v>
      </c>
      <c r="B29" s="73">
        <v>414641341</v>
      </c>
      <c r="C29" s="73">
        <v>8051634.42</v>
      </c>
      <c r="D29" s="73">
        <v>422692975.42</v>
      </c>
      <c r="E29" s="73">
        <v>90222380.86</v>
      </c>
      <c r="F29" s="113">
        <v>90222380.86</v>
      </c>
      <c r="G29" s="111">
        <f t="shared" si="0"/>
        <v>332470594.56</v>
      </c>
    </row>
    <row r="30" spans="1:7" ht="15">
      <c r="A30" s="129" t="s">
        <v>441</v>
      </c>
      <c r="B30" s="73">
        <v>257917215</v>
      </c>
      <c r="C30" s="73">
        <v>2400000</v>
      </c>
      <c r="D30" s="73">
        <v>260317215</v>
      </c>
      <c r="E30" s="73">
        <v>64132520</v>
      </c>
      <c r="F30" s="113">
        <v>64132520</v>
      </c>
      <c r="G30" s="111">
        <f t="shared" si="0"/>
        <v>196184695</v>
      </c>
    </row>
    <row r="31" spans="1:7" ht="15">
      <c r="A31" s="129" t="s">
        <v>442</v>
      </c>
      <c r="B31" s="73">
        <v>337944562</v>
      </c>
      <c r="C31" s="73">
        <v>0</v>
      </c>
      <c r="D31" s="73">
        <v>337944562</v>
      </c>
      <c r="E31" s="73">
        <v>84485847</v>
      </c>
      <c r="F31" s="113">
        <v>84485847</v>
      </c>
      <c r="G31" s="111">
        <f t="shared" si="0"/>
        <v>253458715</v>
      </c>
    </row>
    <row r="32" spans="1:7" ht="15">
      <c r="A32" s="129" t="s">
        <v>443</v>
      </c>
      <c r="B32" s="110">
        <v>503296180</v>
      </c>
      <c r="C32" s="110">
        <v>5010973</v>
      </c>
      <c r="D32" s="110">
        <v>508307153</v>
      </c>
      <c r="E32" s="110">
        <v>170021045</v>
      </c>
      <c r="F32" s="113">
        <v>170021045</v>
      </c>
      <c r="G32" s="111">
        <f t="shared" si="0"/>
        <v>338286108</v>
      </c>
    </row>
    <row r="33" spans="1:7" ht="15">
      <c r="A33" s="129" t="s">
        <v>444</v>
      </c>
      <c r="B33" s="73">
        <v>3026015695</v>
      </c>
      <c r="C33" s="73">
        <v>133688377.16</v>
      </c>
      <c r="D33" s="73">
        <v>3159704072.16</v>
      </c>
      <c r="E33" s="73">
        <v>896407187.07</v>
      </c>
      <c r="F33" s="113">
        <v>895510867.45</v>
      </c>
      <c r="G33" s="111">
        <f t="shared" si="0"/>
        <v>2263296885.0899997</v>
      </c>
    </row>
    <row r="34" spans="1:7" ht="15">
      <c r="A34" s="129" t="s">
        <v>445</v>
      </c>
      <c r="B34" s="73">
        <v>49508550</v>
      </c>
      <c r="C34" s="73">
        <v>0</v>
      </c>
      <c r="D34" s="73">
        <v>49508550</v>
      </c>
      <c r="E34" s="73">
        <v>8344325</v>
      </c>
      <c r="F34" s="113">
        <v>8344325</v>
      </c>
      <c r="G34" s="111">
        <f t="shared" si="0"/>
        <v>41164225</v>
      </c>
    </row>
    <row r="35" spans="1:7" ht="15">
      <c r="A35" s="129" t="s">
        <v>446</v>
      </c>
      <c r="B35" s="73">
        <v>3153930088</v>
      </c>
      <c r="C35" s="73">
        <v>56305710.41</v>
      </c>
      <c r="D35" s="73">
        <v>3210235798.41</v>
      </c>
      <c r="E35" s="73">
        <v>828355849.61</v>
      </c>
      <c r="F35" s="113">
        <v>828355849.61</v>
      </c>
      <c r="G35" s="111">
        <f t="shared" si="0"/>
        <v>2381879948.7999997</v>
      </c>
    </row>
    <row r="36" spans="1:7" ht="15">
      <c r="A36" s="33" t="s">
        <v>146</v>
      </c>
      <c r="B36" s="74"/>
      <c r="C36" s="74"/>
      <c r="D36" s="74"/>
      <c r="E36" s="74"/>
      <c r="F36" s="74"/>
      <c r="G36" s="74"/>
    </row>
    <row r="37" spans="1:7" ht="15">
      <c r="A37" s="128" t="s">
        <v>375</v>
      </c>
      <c r="B37" s="75">
        <f>SUM(B38:B39:cbvbcvbcv)</f>
        <v>13130768295</v>
      </c>
      <c r="C37" s="75">
        <f>SUM(C38:C39:GASTO_E_FIN_02)</f>
        <v>601999998.2</v>
      </c>
      <c r="D37" s="75">
        <f>SUM(D38:D39:cvbcvbcbv)</f>
        <v>13732768293.2</v>
      </c>
      <c r="E37" s="75">
        <f>SUM(E38:E39:GASTO_E_FIN_04)</f>
        <v>3102797104.2299995</v>
      </c>
      <c r="F37" s="75">
        <f>SUM(F38:F39:GASTO_E_FIN_05)</f>
        <v>3102797104.2299995</v>
      </c>
      <c r="G37" s="116">
        <f>SUM(G38:G39:GASTO_E_FIN_06)</f>
        <v>10629971188.970001</v>
      </c>
    </row>
    <row r="38" spans="1:7" ht="30">
      <c r="A38" s="140" t="s">
        <v>455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7">
        <f>+D38-E38</f>
        <v>0</v>
      </c>
    </row>
    <row r="39" spans="1:7" ht="15">
      <c r="A39" s="129" t="s">
        <v>456</v>
      </c>
      <c r="B39" s="73">
        <v>28615915</v>
      </c>
      <c r="C39" s="73">
        <v>10788330.2</v>
      </c>
      <c r="D39" s="73">
        <v>39404245.2</v>
      </c>
      <c r="E39" s="73">
        <v>10788330.19</v>
      </c>
      <c r="F39" s="113">
        <v>10788330.19</v>
      </c>
      <c r="G39" s="117">
        <f aca="true" t="shared" si="1" ref="G39:G44">+D39-E39</f>
        <v>28615915.010000005</v>
      </c>
    </row>
    <row r="40" spans="1:7" ht="15">
      <c r="A40" s="129" t="s">
        <v>457</v>
      </c>
      <c r="B40" s="113">
        <v>0</v>
      </c>
      <c r="C40" s="113">
        <v>0</v>
      </c>
      <c r="D40" s="113">
        <v>0</v>
      </c>
      <c r="E40" s="113">
        <v>0</v>
      </c>
      <c r="F40" s="113">
        <v>0</v>
      </c>
      <c r="G40" s="117">
        <f t="shared" si="1"/>
        <v>0</v>
      </c>
    </row>
    <row r="41" spans="1:7" ht="30">
      <c r="A41" s="140" t="s">
        <v>458</v>
      </c>
      <c r="B41" s="113">
        <v>0</v>
      </c>
      <c r="C41" s="113">
        <v>0</v>
      </c>
      <c r="D41" s="113">
        <v>0</v>
      </c>
      <c r="E41" s="113">
        <v>0</v>
      </c>
      <c r="F41" s="113">
        <v>0</v>
      </c>
      <c r="G41" s="117">
        <f t="shared" si="1"/>
        <v>0</v>
      </c>
    </row>
    <row r="42" spans="1:7" ht="15">
      <c r="A42" s="129" t="s">
        <v>433</v>
      </c>
      <c r="B42" s="73">
        <v>5751154282</v>
      </c>
      <c r="C42" s="73">
        <v>7599195.56</v>
      </c>
      <c r="D42" s="73">
        <v>5758753477.56</v>
      </c>
      <c r="E42" s="73">
        <v>1309347973.6</v>
      </c>
      <c r="F42" s="113">
        <v>1309347973.6</v>
      </c>
      <c r="G42" s="117">
        <f t="shared" si="1"/>
        <v>4449405503.960001</v>
      </c>
    </row>
    <row r="43" spans="1:7" ht="15">
      <c r="A43" s="129" t="s">
        <v>434</v>
      </c>
      <c r="B43" s="113">
        <v>0</v>
      </c>
      <c r="C43" s="113">
        <v>0</v>
      </c>
      <c r="D43" s="113">
        <v>0</v>
      </c>
      <c r="E43" s="113">
        <v>0</v>
      </c>
      <c r="F43" s="113">
        <v>0</v>
      </c>
      <c r="G43" s="117">
        <f>+D43-E43</f>
        <v>0</v>
      </c>
    </row>
    <row r="44" spans="1:7" ht="15">
      <c r="A44" s="140" t="s">
        <v>459</v>
      </c>
      <c r="B44" s="73">
        <v>338328374</v>
      </c>
      <c r="C44" s="73">
        <v>19169509.41</v>
      </c>
      <c r="D44" s="73">
        <v>357497883.41</v>
      </c>
      <c r="E44" s="73">
        <v>18244948.7</v>
      </c>
      <c r="F44" s="113">
        <v>18244948.7</v>
      </c>
      <c r="G44" s="117">
        <f t="shared" si="1"/>
        <v>339252934.71000004</v>
      </c>
    </row>
    <row r="45" spans="1:7" ht="15">
      <c r="A45" s="129" t="s">
        <v>435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f>D45-E45</f>
        <v>0</v>
      </c>
    </row>
    <row r="46" spans="1:7" ht="15">
      <c r="A46" s="129" t="s">
        <v>460</v>
      </c>
      <c r="B46" s="73">
        <v>21915287</v>
      </c>
      <c r="C46" s="73">
        <v>0</v>
      </c>
      <c r="D46" s="73">
        <v>21915287</v>
      </c>
      <c r="E46" s="73">
        <v>0</v>
      </c>
      <c r="F46" s="113">
        <v>0</v>
      </c>
      <c r="G46" s="73">
        <f>D46-E46</f>
        <v>21915287</v>
      </c>
    </row>
    <row r="47" spans="1:7" ht="15">
      <c r="A47" s="129" t="s">
        <v>461</v>
      </c>
      <c r="B47" s="73">
        <v>62464666</v>
      </c>
      <c r="C47" s="73">
        <v>5232586.87</v>
      </c>
      <c r="D47" s="73">
        <v>67697252.87</v>
      </c>
      <c r="E47" s="73">
        <v>5232586.84</v>
      </c>
      <c r="F47" s="73">
        <v>5232586.84</v>
      </c>
      <c r="G47" s="73">
        <f>D47-E47</f>
        <v>62464666.03</v>
      </c>
    </row>
    <row r="48" spans="1:7" ht="15">
      <c r="A48" s="129" t="s">
        <v>462</v>
      </c>
      <c r="B48" s="113">
        <v>0</v>
      </c>
      <c r="C48" s="113">
        <v>0</v>
      </c>
      <c r="D48" s="113">
        <v>0</v>
      </c>
      <c r="E48" s="113">
        <v>0</v>
      </c>
      <c r="F48" s="113">
        <v>0</v>
      </c>
      <c r="G48" s="113">
        <f>+D48-E48</f>
        <v>0</v>
      </c>
    </row>
    <row r="49" spans="1:7" ht="30">
      <c r="A49" s="140" t="s">
        <v>463</v>
      </c>
      <c r="B49" s="113">
        <v>40937214</v>
      </c>
      <c r="C49" s="113">
        <v>0</v>
      </c>
      <c r="D49" s="113">
        <v>40937214</v>
      </c>
      <c r="E49" s="113">
        <v>0</v>
      </c>
      <c r="F49" s="113">
        <v>0</v>
      </c>
      <c r="G49" s="113">
        <f>+D49-E49</f>
        <v>40937214</v>
      </c>
    </row>
    <row r="50" spans="1:7" ht="15">
      <c r="A50" s="129" t="s">
        <v>436</v>
      </c>
      <c r="B50" s="73">
        <v>0</v>
      </c>
      <c r="C50" s="73">
        <v>0</v>
      </c>
      <c r="D50" s="73">
        <v>0</v>
      </c>
      <c r="E50" s="73">
        <v>0</v>
      </c>
      <c r="F50" s="113">
        <v>0</v>
      </c>
      <c r="G50" s="73">
        <f>D50-E50</f>
        <v>0</v>
      </c>
    </row>
    <row r="51" spans="1:7" ht="15">
      <c r="A51" s="129" t="s">
        <v>464</v>
      </c>
      <c r="B51" s="73">
        <v>134630138</v>
      </c>
      <c r="C51" s="73">
        <v>34800862.65</v>
      </c>
      <c r="D51" s="73">
        <v>169431000.65</v>
      </c>
      <c r="E51" s="73">
        <v>34800862.53</v>
      </c>
      <c r="F51" s="113">
        <v>34800862.53</v>
      </c>
      <c r="G51" s="73">
        <f>D51-E51</f>
        <v>134630138.12</v>
      </c>
    </row>
    <row r="52" spans="1:7" ht="15">
      <c r="A52" s="129" t="s">
        <v>437</v>
      </c>
      <c r="B52" s="73">
        <v>61464165</v>
      </c>
      <c r="C52" s="73">
        <v>0</v>
      </c>
      <c r="D52" s="73">
        <v>61464165</v>
      </c>
      <c r="E52" s="73">
        <v>0</v>
      </c>
      <c r="F52" s="73">
        <v>0</v>
      </c>
      <c r="G52" s="73">
        <f>D52-E52</f>
        <v>61464165</v>
      </c>
    </row>
    <row r="53" spans="1:7" ht="15">
      <c r="A53" s="129" t="s">
        <v>438</v>
      </c>
      <c r="B53" s="113">
        <v>0</v>
      </c>
      <c r="C53" s="113">
        <v>0</v>
      </c>
      <c r="D53" s="113">
        <v>0</v>
      </c>
      <c r="E53" s="113">
        <v>0</v>
      </c>
      <c r="F53" s="113">
        <v>0</v>
      </c>
      <c r="G53" s="113">
        <f>+D53-E53</f>
        <v>0</v>
      </c>
    </row>
    <row r="54" spans="1:7" ht="15">
      <c r="A54" s="129" t="s">
        <v>465</v>
      </c>
      <c r="B54" s="113">
        <v>0</v>
      </c>
      <c r="C54" s="113">
        <v>0</v>
      </c>
      <c r="D54" s="113">
        <v>0</v>
      </c>
      <c r="E54" s="113">
        <v>0</v>
      </c>
      <c r="F54" s="113">
        <v>0</v>
      </c>
      <c r="G54" s="113">
        <f>+D54-E54</f>
        <v>0</v>
      </c>
    </row>
    <row r="55" spans="1:7" ht="15">
      <c r="A55" s="129" t="s">
        <v>439</v>
      </c>
      <c r="B55" s="73">
        <v>52500000</v>
      </c>
      <c r="C55" s="73">
        <v>9395367.02</v>
      </c>
      <c r="D55" s="73">
        <v>61895367.02</v>
      </c>
      <c r="E55" s="73">
        <v>9395367.02</v>
      </c>
      <c r="F55" s="113">
        <v>9395367.02</v>
      </c>
      <c r="G55" s="73">
        <f>D55-E55</f>
        <v>52500000</v>
      </c>
    </row>
    <row r="56" spans="1:7" ht="15">
      <c r="A56" s="129" t="s">
        <v>453</v>
      </c>
      <c r="B56" s="113">
        <v>0</v>
      </c>
      <c r="C56" s="113">
        <v>0</v>
      </c>
      <c r="D56" s="113">
        <v>0</v>
      </c>
      <c r="E56" s="113">
        <v>0</v>
      </c>
      <c r="F56" s="113">
        <v>0</v>
      </c>
      <c r="G56" s="113">
        <f>+D56-E56</f>
        <v>0</v>
      </c>
    </row>
    <row r="57" spans="1:7" ht="15">
      <c r="A57" s="129" t="s">
        <v>440</v>
      </c>
      <c r="B57" s="113">
        <v>0</v>
      </c>
      <c r="C57" s="113">
        <v>0</v>
      </c>
      <c r="D57" s="113">
        <v>0</v>
      </c>
      <c r="E57" s="113">
        <v>0</v>
      </c>
      <c r="F57" s="113">
        <v>0</v>
      </c>
      <c r="G57" s="113">
        <f>+D57-E57</f>
        <v>0</v>
      </c>
    </row>
    <row r="58" spans="1:7" ht="15">
      <c r="A58" s="129" t="s">
        <v>441</v>
      </c>
      <c r="B58" s="113">
        <v>0</v>
      </c>
      <c r="C58" s="113">
        <v>0</v>
      </c>
      <c r="D58" s="113">
        <v>0</v>
      </c>
      <c r="E58" s="113">
        <v>0</v>
      </c>
      <c r="F58" s="113">
        <v>0</v>
      </c>
      <c r="G58" s="113">
        <f>+D58-E58</f>
        <v>0</v>
      </c>
    </row>
    <row r="59" spans="1:7" ht="15">
      <c r="A59" s="129" t="s">
        <v>442</v>
      </c>
      <c r="B59" s="113">
        <v>0</v>
      </c>
      <c r="C59" s="113">
        <v>0</v>
      </c>
      <c r="D59" s="113">
        <v>0</v>
      </c>
      <c r="E59" s="113">
        <v>0</v>
      </c>
      <c r="F59" s="113">
        <v>0</v>
      </c>
      <c r="G59" s="113">
        <f>+D59-E59</f>
        <v>0</v>
      </c>
    </row>
    <row r="60" spans="1:7" ht="15">
      <c r="A60" s="129" t="s">
        <v>443</v>
      </c>
      <c r="B60" s="113">
        <v>0</v>
      </c>
      <c r="C60" s="113">
        <v>0</v>
      </c>
      <c r="D60" s="113">
        <v>0</v>
      </c>
      <c r="E60" s="113">
        <v>0</v>
      </c>
      <c r="F60" s="113">
        <v>0</v>
      </c>
      <c r="G60" s="113">
        <f>+D60-E60</f>
        <v>0</v>
      </c>
    </row>
    <row r="61" spans="1:7" ht="15">
      <c r="A61" s="129" t="s">
        <v>444</v>
      </c>
      <c r="B61" s="73">
        <v>4413130208</v>
      </c>
      <c r="C61" s="73">
        <v>573244813.97</v>
      </c>
      <c r="D61" s="73">
        <v>4986375021.97</v>
      </c>
      <c r="E61" s="73">
        <v>1112963440.4</v>
      </c>
      <c r="F61" s="113">
        <v>1112963440.4</v>
      </c>
      <c r="G61" s="73">
        <f>D61-E61</f>
        <v>3873411581.57</v>
      </c>
    </row>
    <row r="62" spans="1:7" ht="15">
      <c r="A62" s="129" t="s">
        <v>445</v>
      </c>
      <c r="B62" s="113">
        <v>0</v>
      </c>
      <c r="C62" s="113">
        <v>0</v>
      </c>
      <c r="D62" s="113">
        <v>0</v>
      </c>
      <c r="E62" s="113">
        <v>0</v>
      </c>
      <c r="F62" s="113">
        <v>0</v>
      </c>
      <c r="G62" s="113">
        <f>+D62-E62</f>
        <v>0</v>
      </c>
    </row>
    <row r="63" spans="1:7" ht="15">
      <c r="A63" s="129" t="s">
        <v>446</v>
      </c>
      <c r="B63" s="73">
        <v>2225628046</v>
      </c>
      <c r="C63" s="73">
        <v>-58230667.48</v>
      </c>
      <c r="D63" s="73">
        <v>2167397378.52</v>
      </c>
      <c r="E63" s="73">
        <v>602023594.95</v>
      </c>
      <c r="F63" s="113">
        <v>602023594.95</v>
      </c>
      <c r="G63" s="111">
        <f>D63-E63</f>
        <v>1565373783.57</v>
      </c>
    </row>
    <row r="64" spans="1:7" ht="15">
      <c r="A64" s="33" t="s">
        <v>146</v>
      </c>
      <c r="B64" s="25"/>
      <c r="C64" s="25"/>
      <c r="D64" s="25"/>
      <c r="E64" s="25"/>
      <c r="F64" s="25"/>
      <c r="G64" s="25"/>
    </row>
    <row r="65" spans="1:7" ht="15">
      <c r="A65" s="128" t="s">
        <v>371</v>
      </c>
      <c r="B65" s="75">
        <f>GASTO_NE_T1+vcvcbvcbcvb</f>
        <v>25773631741</v>
      </c>
      <c r="C65" s="75">
        <f>cvbvcbcbvbc+cvbcbvbcvbvc</f>
        <v>1258852936.3400002</v>
      </c>
      <c r="D65" s="75">
        <f>vcbvbcbdfgfdg+GASTO_E_T3</f>
        <v>27032484677.34</v>
      </c>
      <c r="E65" s="75">
        <f>GASTO_NE_T4+GASTO_E_T4</f>
        <v>6323015092.559999</v>
      </c>
      <c r="F65" s="75">
        <f>GASTO_NE_T5+GASTO_E_T5</f>
        <v>6307791614.51</v>
      </c>
      <c r="G65" s="75">
        <f>GASTO_NE_T6+GASTO_E_T6</f>
        <v>20709469584.78</v>
      </c>
    </row>
    <row r="66" spans="1:7" ht="15">
      <c r="A66" s="30"/>
      <c r="B66" s="104"/>
      <c r="C66" s="104"/>
      <c r="D66" s="104"/>
      <c r="E66" s="104"/>
      <c r="F66" s="104"/>
      <c r="G66" s="104"/>
    </row>
    <row r="67" spans="1:7" ht="15" hidden="1">
      <c r="A67"/>
      <c r="B67"/>
      <c r="C67"/>
      <c r="D67"/>
      <c r="E67"/>
      <c r="F67"/>
      <c r="G67"/>
    </row>
    <row r="68" spans="1:7" ht="15" hidden="1">
      <c r="A68"/>
      <c r="B68"/>
      <c r="C68"/>
      <c r="D68"/>
      <c r="E68"/>
      <c r="F68"/>
      <c r="G68"/>
    </row>
    <row r="69" spans="1:7" ht="15" hidden="1">
      <c r="A69"/>
      <c r="B69"/>
      <c r="C69"/>
      <c r="D69"/>
      <c r="E69"/>
      <c r="F69"/>
      <c r="G69"/>
    </row>
    <row r="70" spans="1:7" ht="15" hidden="1">
      <c r="A70"/>
      <c r="B70"/>
      <c r="C70"/>
      <c r="D70"/>
      <c r="E70"/>
      <c r="F70"/>
      <c r="G70"/>
    </row>
    <row r="71" spans="1:7" ht="15" hidden="1">
      <c r="A71"/>
      <c r="B71"/>
      <c r="C71"/>
      <c r="D71"/>
      <c r="E71"/>
      <c r="F71"/>
      <c r="G71"/>
    </row>
    <row r="72" spans="1:7" ht="15" hidden="1">
      <c r="A72"/>
      <c r="B72"/>
      <c r="C72"/>
      <c r="D72"/>
      <c r="E72"/>
      <c r="F72"/>
      <c r="G72"/>
    </row>
    <row r="73" spans="1:7" ht="15" hidden="1">
      <c r="A73"/>
      <c r="B73"/>
      <c r="C73"/>
      <c r="D73"/>
      <c r="E73"/>
      <c r="F73"/>
      <c r="G73"/>
    </row>
    <row r="74" spans="1:7" ht="15" hidden="1">
      <c r="A74"/>
      <c r="B74"/>
      <c r="C74"/>
      <c r="D74"/>
      <c r="E74"/>
      <c r="F74"/>
      <c r="G74"/>
    </row>
    <row r="75" spans="1:7" ht="15" hidden="1">
      <c r="A75"/>
      <c r="B75"/>
      <c r="C75"/>
      <c r="D75"/>
      <c r="E75"/>
      <c r="F75"/>
      <c r="G75"/>
    </row>
    <row r="76" spans="1:7" ht="15" hidden="1">
      <c r="A76"/>
      <c r="B76"/>
      <c r="C76"/>
      <c r="D76"/>
      <c r="E76"/>
      <c r="F76"/>
      <c r="G76"/>
    </row>
    <row r="77" spans="1:7" ht="15" hidden="1">
      <c r="A77"/>
      <c r="B77"/>
      <c r="C77"/>
      <c r="D77"/>
      <c r="E77"/>
      <c r="F77"/>
      <c r="G77"/>
    </row>
    <row r="78" spans="1:7" ht="15" hidden="1">
      <c r="A78"/>
      <c r="B78"/>
      <c r="C78"/>
      <c r="D78"/>
      <c r="E78"/>
      <c r="F78"/>
      <c r="G78"/>
    </row>
    <row r="79" spans="1:7" ht="15" hidden="1">
      <c r="A79"/>
      <c r="B79"/>
      <c r="C79"/>
      <c r="D79"/>
      <c r="E79"/>
      <c r="F79"/>
      <c r="G79"/>
    </row>
    <row r="80" spans="1:7" ht="15" hidden="1">
      <c r="A80"/>
      <c r="B80"/>
      <c r="C80"/>
      <c r="D80"/>
      <c r="E80"/>
      <c r="F80"/>
      <c r="G80"/>
    </row>
    <row r="81" spans="1:7" ht="15" hidden="1">
      <c r="A81"/>
      <c r="B81"/>
      <c r="C81"/>
      <c r="D81"/>
      <c r="E81"/>
      <c r="F81"/>
      <c r="G81"/>
    </row>
    <row r="82" ht="15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65:C65 B9:C9 G10:G35 D9:G9 G45:G47 G50:G52 G63 G48:G49 G64:G65 G53:G54 D65:F65" unlockedFormula="1"/>
    <ignoredError sqref="G56:G60 G55 G61:G62 B37:F37" formula="1" unlockedFormula="1"/>
    <ignoredError sqref="B37:F37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zoomScalePageLayoutView="0" workbookViewId="0" topLeftCell="A1">
      <selection activeCell="B25" sqref="B25"/>
    </sheetView>
  </sheetViews>
  <sheetFormatPr defaultColWidth="0.71875" defaultRowHeight="15" zeroHeight="1"/>
  <cols>
    <col min="1" max="1" width="74.57421875" style="32" customWidth="1"/>
    <col min="2" max="6" width="20.7109375" style="32" customWidth="1"/>
    <col min="7" max="7" width="17.8515625" style="32" bestFit="1" customWidth="1"/>
    <col min="8" max="255" width="11.421875" style="0" hidden="1" customWidth="1"/>
  </cols>
  <sheetData>
    <row r="1" spans="1:7" ht="21">
      <c r="A1" s="173" t="s">
        <v>376</v>
      </c>
      <c r="B1" s="163"/>
      <c r="C1" s="163"/>
      <c r="D1" s="163"/>
      <c r="E1" s="163"/>
      <c r="F1" s="163"/>
      <c r="G1" s="163"/>
    </row>
    <row r="2" spans="1:7" ht="15">
      <c r="A2" s="148" t="s">
        <v>286</v>
      </c>
      <c r="B2" s="149"/>
      <c r="C2" s="149"/>
      <c r="D2" s="149"/>
      <c r="E2" s="149"/>
      <c r="F2" s="149"/>
      <c r="G2" s="150"/>
    </row>
    <row r="3" spans="1:7" ht="15">
      <c r="A3" s="151" t="s">
        <v>377</v>
      </c>
      <c r="B3" s="152"/>
      <c r="C3" s="152"/>
      <c r="D3" s="152"/>
      <c r="E3" s="152"/>
      <c r="F3" s="152"/>
      <c r="G3" s="153"/>
    </row>
    <row r="4" spans="1:7" ht="15">
      <c r="A4" s="151" t="s">
        <v>378</v>
      </c>
      <c r="B4" s="152"/>
      <c r="C4" s="152"/>
      <c r="D4" s="152"/>
      <c r="E4" s="152"/>
      <c r="F4" s="152"/>
      <c r="G4" s="153"/>
    </row>
    <row r="5" spans="1:7" ht="15">
      <c r="A5" s="154" t="s">
        <v>482</v>
      </c>
      <c r="B5" s="155"/>
      <c r="C5" s="155"/>
      <c r="D5" s="155"/>
      <c r="E5" s="155"/>
      <c r="F5" s="155"/>
      <c r="G5" s="156"/>
    </row>
    <row r="6" spans="1:7" ht="15">
      <c r="A6" s="157" t="s">
        <v>2</v>
      </c>
      <c r="B6" s="158"/>
      <c r="C6" s="158"/>
      <c r="D6" s="158"/>
      <c r="E6" s="158"/>
      <c r="F6" s="158"/>
      <c r="G6" s="159"/>
    </row>
    <row r="7" spans="1:7" ht="15">
      <c r="A7" s="164" t="s">
        <v>4</v>
      </c>
      <c r="B7" s="157" t="s">
        <v>290</v>
      </c>
      <c r="C7" s="158"/>
      <c r="D7" s="158"/>
      <c r="E7" s="158"/>
      <c r="F7" s="159"/>
      <c r="G7" s="169" t="s">
        <v>379</v>
      </c>
    </row>
    <row r="8" spans="1:7" ht="30">
      <c r="A8" s="165"/>
      <c r="B8" s="17" t="s">
        <v>292</v>
      </c>
      <c r="C8" s="6" t="s">
        <v>380</v>
      </c>
      <c r="D8" s="17" t="s">
        <v>294</v>
      </c>
      <c r="E8" s="17" t="s">
        <v>182</v>
      </c>
      <c r="F8" s="26" t="s">
        <v>198</v>
      </c>
      <c r="G8" s="168"/>
    </row>
    <row r="9" spans="1:7" ht="15">
      <c r="A9" s="130" t="s">
        <v>381</v>
      </c>
      <c r="B9" s="94">
        <f aca="true" t="shared" si="0" ref="B9:G9">SUM(B10,B19,B27,B37)</f>
        <v>12642863446</v>
      </c>
      <c r="C9" s="94">
        <f>SUM(C10,C19,C27,C37)</f>
        <v>656852938.1400001</v>
      </c>
      <c r="D9" s="94">
        <f t="shared" si="0"/>
        <v>13299716384.14</v>
      </c>
      <c r="E9" s="94">
        <f t="shared" si="0"/>
        <v>3220217988.33</v>
      </c>
      <c r="F9" s="94">
        <f t="shared" si="0"/>
        <v>3204994510.2799997</v>
      </c>
      <c r="G9" s="94">
        <f t="shared" si="0"/>
        <v>10079498395.810001</v>
      </c>
    </row>
    <row r="10" spans="1:7" ht="15">
      <c r="A10" s="131" t="s">
        <v>382</v>
      </c>
      <c r="B10" s="95">
        <f aca="true" t="shared" si="1" ref="B10:G10">SUM(B11:B18)</f>
        <v>3992393698</v>
      </c>
      <c r="C10" s="95">
        <f t="shared" si="1"/>
        <v>328891309.14</v>
      </c>
      <c r="D10" s="95">
        <f t="shared" si="1"/>
        <v>4321285007.139999</v>
      </c>
      <c r="E10" s="95">
        <f t="shared" si="1"/>
        <v>1073942257.11</v>
      </c>
      <c r="F10" s="95">
        <f t="shared" si="1"/>
        <v>1070971253.78</v>
      </c>
      <c r="G10" s="95">
        <f t="shared" si="1"/>
        <v>3247342750.03</v>
      </c>
    </row>
    <row r="11" spans="1:7" ht="15">
      <c r="A11" s="19" t="s">
        <v>383</v>
      </c>
      <c r="B11" s="95">
        <v>257917215</v>
      </c>
      <c r="C11" s="95">
        <v>2400000</v>
      </c>
      <c r="D11" s="95">
        <v>260317215</v>
      </c>
      <c r="E11" s="95">
        <v>64132520</v>
      </c>
      <c r="F11" s="95">
        <v>64132520</v>
      </c>
      <c r="G11" s="95">
        <f>D11-E11</f>
        <v>196184695</v>
      </c>
    </row>
    <row r="12" spans="1:7" ht="15">
      <c r="A12" s="19" t="s">
        <v>384</v>
      </c>
      <c r="B12" s="95">
        <v>1087302334</v>
      </c>
      <c r="C12" s="95">
        <v>24778073.66</v>
      </c>
      <c r="D12" s="95">
        <v>1112080407.66</v>
      </c>
      <c r="E12" s="95">
        <v>230496675.91</v>
      </c>
      <c r="F12" s="95">
        <v>229713291.43</v>
      </c>
      <c r="G12" s="95">
        <f aca="true" t="shared" si="2" ref="G12:G18">D12-E12</f>
        <v>881583731.7500001</v>
      </c>
    </row>
    <row r="13" spans="1:7" ht="15">
      <c r="A13" s="19" t="s">
        <v>385</v>
      </c>
      <c r="B13" s="95">
        <v>907416084</v>
      </c>
      <c r="C13" s="95">
        <v>148542940.54</v>
      </c>
      <c r="D13" s="95">
        <v>1055959024.54</v>
      </c>
      <c r="E13" s="95">
        <v>359299216.27</v>
      </c>
      <c r="F13" s="95">
        <v>358805618.13</v>
      </c>
      <c r="G13" s="95">
        <f t="shared" si="2"/>
        <v>696659808.27</v>
      </c>
    </row>
    <row r="14" spans="1:7" ht="15">
      <c r="A14" s="19" t="s">
        <v>386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f t="shared" si="2"/>
        <v>0</v>
      </c>
    </row>
    <row r="15" spans="1:7" ht="15">
      <c r="A15" s="19" t="s">
        <v>387</v>
      </c>
      <c r="B15" s="95">
        <v>574610183</v>
      </c>
      <c r="C15" s="95">
        <v>4530687.81</v>
      </c>
      <c r="D15" s="95">
        <v>579140870.81</v>
      </c>
      <c r="E15" s="95">
        <v>54639713.29</v>
      </c>
      <c r="F15" s="95">
        <v>54347343.98</v>
      </c>
      <c r="G15" s="95">
        <f t="shared" si="2"/>
        <v>524501157.5199999</v>
      </c>
    </row>
    <row r="16" spans="1:7" ht="15">
      <c r="A16" s="19" t="s">
        <v>388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f t="shared" si="2"/>
        <v>0</v>
      </c>
    </row>
    <row r="17" spans="1:7" ht="15">
      <c r="A17" s="19" t="s">
        <v>389</v>
      </c>
      <c r="B17" s="95">
        <v>814400773</v>
      </c>
      <c r="C17" s="95">
        <v>148698659.26</v>
      </c>
      <c r="D17" s="95">
        <v>963099432.26</v>
      </c>
      <c r="E17" s="95">
        <v>311182109.34</v>
      </c>
      <c r="F17" s="95">
        <v>310081982.03</v>
      </c>
      <c r="G17" s="95">
        <f t="shared" si="2"/>
        <v>651917322.9200001</v>
      </c>
    </row>
    <row r="18" spans="1:7" ht="15">
      <c r="A18" s="19" t="s">
        <v>390</v>
      </c>
      <c r="B18" s="95">
        <v>350747109</v>
      </c>
      <c r="C18" s="95">
        <v>-59052.13</v>
      </c>
      <c r="D18" s="95">
        <v>350688056.87</v>
      </c>
      <c r="E18" s="95">
        <v>54192022.3</v>
      </c>
      <c r="F18" s="95">
        <v>53890498.21</v>
      </c>
      <c r="G18" s="95">
        <f t="shared" si="2"/>
        <v>296496034.57</v>
      </c>
    </row>
    <row r="19" spans="1:7" ht="15">
      <c r="A19" s="131" t="s">
        <v>391</v>
      </c>
      <c r="B19" s="95">
        <f aca="true" t="shared" si="3" ref="B19:G19">SUM(B20:B26)</f>
        <v>4394687632</v>
      </c>
      <c r="C19" s="95">
        <f t="shared" si="3"/>
        <v>133042347.85000001</v>
      </c>
      <c r="D19" s="95">
        <f t="shared" si="3"/>
        <v>4527729979.85</v>
      </c>
      <c r="E19" s="95">
        <f t="shared" si="3"/>
        <v>1103209652.19</v>
      </c>
      <c r="F19" s="95">
        <f t="shared" si="3"/>
        <v>1101086826.1599998</v>
      </c>
      <c r="G19" s="95">
        <f t="shared" si="3"/>
        <v>3424520327.66</v>
      </c>
    </row>
    <row r="20" spans="1:7" ht="15">
      <c r="A20" s="19" t="s">
        <v>392</v>
      </c>
      <c r="B20" s="95">
        <v>52774417</v>
      </c>
      <c r="C20" s="95">
        <v>2662909.04</v>
      </c>
      <c r="D20" s="95">
        <v>55437326.04</v>
      </c>
      <c r="E20" s="95">
        <v>13218758.12</v>
      </c>
      <c r="F20" s="95">
        <v>13177159.5</v>
      </c>
      <c r="G20" s="95">
        <f>D20-E20</f>
        <v>42218567.92</v>
      </c>
    </row>
    <row r="21" spans="1:7" ht="15">
      <c r="A21" s="19" t="s">
        <v>393</v>
      </c>
      <c r="B21" s="95">
        <v>315102288</v>
      </c>
      <c r="C21" s="95">
        <v>26180152.39</v>
      </c>
      <c r="D21" s="95">
        <v>341282440.39</v>
      </c>
      <c r="E21" s="95">
        <v>72140060.43</v>
      </c>
      <c r="F21" s="95">
        <v>71959202.12</v>
      </c>
      <c r="G21" s="95">
        <f aca="true" t="shared" si="4" ref="G21:G26">D21-E21</f>
        <v>269142379.96</v>
      </c>
    </row>
    <row r="22" spans="1:7" ht="15">
      <c r="A22" s="19" t="s">
        <v>394</v>
      </c>
      <c r="B22" s="95">
        <v>777420353</v>
      </c>
      <c r="C22" s="95">
        <v>59538792.18</v>
      </c>
      <c r="D22" s="95">
        <v>836959145.18</v>
      </c>
      <c r="E22" s="95">
        <v>168309386.72</v>
      </c>
      <c r="F22" s="95">
        <v>167514109.74</v>
      </c>
      <c r="G22" s="95">
        <f t="shared" si="4"/>
        <v>668649758.4599999</v>
      </c>
    </row>
    <row r="23" spans="1:7" ht="15">
      <c r="A23" s="19" t="s">
        <v>395</v>
      </c>
      <c r="B23" s="95">
        <v>361647686</v>
      </c>
      <c r="C23" s="95">
        <v>-3555879.07</v>
      </c>
      <c r="D23" s="95">
        <v>358091806.93</v>
      </c>
      <c r="E23" s="95">
        <v>105608027.7</v>
      </c>
      <c r="F23" s="95">
        <v>105453206.53</v>
      </c>
      <c r="G23" s="95">
        <f t="shared" si="4"/>
        <v>252483779.23000002</v>
      </c>
    </row>
    <row r="24" spans="1:7" ht="15">
      <c r="A24" s="19" t="s">
        <v>396</v>
      </c>
      <c r="B24" s="95">
        <v>2112473403</v>
      </c>
      <c r="C24" s="95">
        <v>22135897.64</v>
      </c>
      <c r="D24" s="95">
        <v>2134609300.64</v>
      </c>
      <c r="E24" s="95">
        <v>566583496.8</v>
      </c>
      <c r="F24" s="95">
        <v>565912765.53</v>
      </c>
      <c r="G24" s="95">
        <f t="shared" si="4"/>
        <v>1568025803.8400002</v>
      </c>
    </row>
    <row r="25" spans="1:7" ht="15">
      <c r="A25" s="19" t="s">
        <v>397</v>
      </c>
      <c r="B25" s="95">
        <v>442616522</v>
      </c>
      <c r="C25" s="95">
        <v>0</v>
      </c>
      <c r="D25" s="95">
        <v>442616522</v>
      </c>
      <c r="E25" s="95">
        <v>113697369</v>
      </c>
      <c r="F25" s="95">
        <v>113697369</v>
      </c>
      <c r="G25" s="95">
        <f t="shared" si="4"/>
        <v>328919153</v>
      </c>
    </row>
    <row r="26" spans="1:7" ht="15">
      <c r="A26" s="19" t="s">
        <v>398</v>
      </c>
      <c r="B26" s="95">
        <v>332652963</v>
      </c>
      <c r="C26" s="95">
        <v>26080475.67</v>
      </c>
      <c r="D26" s="95">
        <v>358733438.67</v>
      </c>
      <c r="E26" s="95">
        <v>63652553.42</v>
      </c>
      <c r="F26" s="95">
        <v>63373013.74</v>
      </c>
      <c r="G26" s="95">
        <f t="shared" si="4"/>
        <v>295080885.25</v>
      </c>
    </row>
    <row r="27" spans="1:7" ht="15">
      <c r="A27" s="131" t="s">
        <v>399</v>
      </c>
      <c r="B27" s="95">
        <f aca="true" t="shared" si="5" ref="B27:G27">SUM(B28:B36)</f>
        <v>687210687</v>
      </c>
      <c r="C27" s="95">
        <f t="shared" si="5"/>
        <v>130561936.32000001</v>
      </c>
      <c r="D27" s="95">
        <f t="shared" si="5"/>
        <v>817772623.32</v>
      </c>
      <c r="E27" s="95">
        <f t="shared" si="5"/>
        <v>124487848.55999999</v>
      </c>
      <c r="F27" s="95">
        <f t="shared" si="5"/>
        <v>114358199.87</v>
      </c>
      <c r="G27" s="95">
        <f t="shared" si="5"/>
        <v>693284774.76</v>
      </c>
    </row>
    <row r="28" spans="1:7" ht="15">
      <c r="A28" s="36" t="s">
        <v>400</v>
      </c>
      <c r="B28" s="95">
        <v>132755629</v>
      </c>
      <c r="C28" s="95">
        <v>349160.9</v>
      </c>
      <c r="D28" s="95">
        <v>133104789.9</v>
      </c>
      <c r="E28" s="95">
        <v>19493892.46</v>
      </c>
      <c r="F28" s="95">
        <v>19408114.04</v>
      </c>
      <c r="G28" s="95">
        <f>D28-E28</f>
        <v>113610897.44</v>
      </c>
    </row>
    <row r="29" spans="1:7" ht="15">
      <c r="A29" s="19" t="s">
        <v>401</v>
      </c>
      <c r="B29" s="95">
        <v>294037931</v>
      </c>
      <c r="C29" s="95">
        <v>30353767.32</v>
      </c>
      <c r="D29" s="95">
        <v>324391698.32</v>
      </c>
      <c r="E29" s="95">
        <v>64280293.97</v>
      </c>
      <c r="F29" s="95">
        <v>64141138.21</v>
      </c>
      <c r="G29" s="95">
        <f aca="true" t="shared" si="6" ref="G29:G35">D29-E29</f>
        <v>260111404.35</v>
      </c>
    </row>
    <row r="30" spans="1:7" ht="15">
      <c r="A30" s="19" t="s">
        <v>402</v>
      </c>
      <c r="B30" s="95">
        <v>81732748</v>
      </c>
      <c r="C30" s="95">
        <v>71999408.01</v>
      </c>
      <c r="D30" s="95">
        <v>153732156.01</v>
      </c>
      <c r="E30" s="95">
        <v>2328747.71</v>
      </c>
      <c r="F30" s="95">
        <v>2313173.03</v>
      </c>
      <c r="G30" s="95">
        <f t="shared" si="6"/>
        <v>151403408.29999998</v>
      </c>
    </row>
    <row r="31" spans="1:7" ht="15">
      <c r="A31" s="19" t="s">
        <v>403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f t="shared" si="6"/>
        <v>0</v>
      </c>
    </row>
    <row r="32" spans="1:7" ht="15">
      <c r="A32" s="19" t="s">
        <v>404</v>
      </c>
      <c r="B32" s="95">
        <v>9939936</v>
      </c>
      <c r="C32" s="95">
        <v>113557.36</v>
      </c>
      <c r="D32" s="95">
        <v>10053493.36</v>
      </c>
      <c r="E32" s="95">
        <v>1705339.66</v>
      </c>
      <c r="F32" s="95">
        <v>1691283.34</v>
      </c>
      <c r="G32" s="95">
        <f t="shared" si="6"/>
        <v>8348153.699999999</v>
      </c>
    </row>
    <row r="33" spans="1:7" ht="15">
      <c r="A33" s="19" t="s">
        <v>405</v>
      </c>
      <c r="B33" s="95">
        <v>68904458</v>
      </c>
      <c r="C33" s="95">
        <v>27618471.14</v>
      </c>
      <c r="D33" s="95">
        <v>96522929.14</v>
      </c>
      <c r="E33" s="95">
        <v>20235404.65</v>
      </c>
      <c r="F33" s="95">
        <v>10442659.9</v>
      </c>
      <c r="G33" s="95">
        <f t="shared" si="6"/>
        <v>76287524.49000001</v>
      </c>
    </row>
    <row r="34" spans="1:7" ht="15">
      <c r="A34" s="19" t="s">
        <v>406</v>
      </c>
      <c r="B34" s="95">
        <v>83535536</v>
      </c>
      <c r="C34" s="95">
        <v>127594.59</v>
      </c>
      <c r="D34" s="95">
        <v>83663130.59</v>
      </c>
      <c r="E34" s="95">
        <v>13113976.63</v>
      </c>
      <c r="F34" s="95">
        <v>13059811.24</v>
      </c>
      <c r="G34" s="95">
        <f t="shared" si="6"/>
        <v>70549153.96000001</v>
      </c>
    </row>
    <row r="35" spans="1:7" ht="15">
      <c r="A35" s="19" t="s">
        <v>407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f t="shared" si="6"/>
        <v>0</v>
      </c>
    </row>
    <row r="36" spans="1:7" ht="15">
      <c r="A36" s="19" t="s">
        <v>408</v>
      </c>
      <c r="B36" s="95">
        <v>16304449</v>
      </c>
      <c r="C36" s="95">
        <v>-23</v>
      </c>
      <c r="D36" s="95">
        <v>16304426</v>
      </c>
      <c r="E36" s="95">
        <v>3330193.48</v>
      </c>
      <c r="F36" s="95">
        <v>3302020.11</v>
      </c>
      <c r="G36" s="95">
        <f>D36-E36</f>
        <v>12974232.52</v>
      </c>
    </row>
    <row r="37" spans="1:7" ht="30">
      <c r="A37" s="134" t="s">
        <v>409</v>
      </c>
      <c r="B37" s="95">
        <f aca="true" t="shared" si="7" ref="B37:G37">SUM(B38:B41)</f>
        <v>3568571429</v>
      </c>
      <c r="C37" s="95">
        <f t="shared" si="7"/>
        <v>64357344.83</v>
      </c>
      <c r="D37" s="95">
        <f t="shared" si="7"/>
        <v>3632928773.83</v>
      </c>
      <c r="E37" s="95">
        <f t="shared" si="7"/>
        <v>918578230.47</v>
      </c>
      <c r="F37" s="95">
        <f t="shared" si="7"/>
        <v>918578230.47</v>
      </c>
      <c r="G37" s="95">
        <f t="shared" si="7"/>
        <v>2714350543.3599997</v>
      </c>
    </row>
    <row r="38" spans="1:7" ht="15">
      <c r="A38" s="36" t="s">
        <v>410</v>
      </c>
      <c r="B38" s="95">
        <v>364641341</v>
      </c>
      <c r="C38" s="95">
        <v>8051634.42</v>
      </c>
      <c r="D38" s="95">
        <v>372692975.42</v>
      </c>
      <c r="E38" s="95">
        <v>90222380.86</v>
      </c>
      <c r="F38" s="95">
        <v>90222380.86</v>
      </c>
      <c r="G38" s="95">
        <f>+D38-E38</f>
        <v>282470594.56</v>
      </c>
    </row>
    <row r="39" spans="1:7" ht="30">
      <c r="A39" s="36" t="s">
        <v>411</v>
      </c>
      <c r="B39" s="95">
        <v>3153930088</v>
      </c>
      <c r="C39" s="95">
        <v>56305710.41</v>
      </c>
      <c r="D39" s="95">
        <v>3210235798.41</v>
      </c>
      <c r="E39" s="95">
        <v>828355849.61</v>
      </c>
      <c r="F39" s="95">
        <v>828355849.61</v>
      </c>
      <c r="G39" s="95">
        <f>+D39-E39</f>
        <v>2381879948.7999997</v>
      </c>
    </row>
    <row r="40" spans="1:7" ht="15">
      <c r="A40" s="36" t="s">
        <v>412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f>+D40-E40</f>
        <v>0</v>
      </c>
    </row>
    <row r="41" spans="1:7" ht="15">
      <c r="A41" s="36" t="s">
        <v>413</v>
      </c>
      <c r="B41" s="95">
        <v>50000000</v>
      </c>
      <c r="C41" s="95">
        <v>0</v>
      </c>
      <c r="D41" s="95">
        <v>50000000</v>
      </c>
      <c r="E41" s="95">
        <v>0</v>
      </c>
      <c r="F41" s="95">
        <v>0</v>
      </c>
      <c r="G41" s="95">
        <f>+D41-E41</f>
        <v>50000000</v>
      </c>
    </row>
    <row r="42" spans="1:7" ht="15">
      <c r="A42" s="31"/>
      <c r="B42" s="95"/>
      <c r="C42" s="95"/>
      <c r="D42" s="95"/>
      <c r="E42" s="95"/>
      <c r="F42" s="95"/>
      <c r="G42" s="95"/>
    </row>
    <row r="43" spans="1:7" ht="15">
      <c r="A43" s="128" t="s">
        <v>414</v>
      </c>
      <c r="B43" s="96">
        <f aca="true" t="shared" si="8" ref="B43:G43">SUM(B44,B53,B61,B71)</f>
        <v>13130768295</v>
      </c>
      <c r="C43" s="96">
        <f t="shared" si="8"/>
        <v>601999998.2</v>
      </c>
      <c r="D43" s="96">
        <f t="shared" si="8"/>
        <v>13732768293.2</v>
      </c>
      <c r="E43" s="96">
        <f t="shared" si="8"/>
        <v>3102797104.2299995</v>
      </c>
      <c r="F43" s="96">
        <f t="shared" si="8"/>
        <v>3102797104.2299995</v>
      </c>
      <c r="G43" s="96">
        <f t="shared" si="8"/>
        <v>10629971188.97</v>
      </c>
    </row>
    <row r="44" spans="1:7" ht="15">
      <c r="A44" s="131" t="s">
        <v>415</v>
      </c>
      <c r="B44" s="95">
        <f aca="true" t="shared" si="9" ref="B44:G44">SUM(B45:B52)</f>
        <v>292210218</v>
      </c>
      <c r="C44" s="95">
        <f t="shared" si="9"/>
        <v>54984559.87</v>
      </c>
      <c r="D44" s="95">
        <f t="shared" si="9"/>
        <v>347194777.87</v>
      </c>
      <c r="E44" s="95">
        <f t="shared" si="9"/>
        <v>54984559.739999995</v>
      </c>
      <c r="F44" s="95">
        <f t="shared" si="9"/>
        <v>54984559.739999995</v>
      </c>
      <c r="G44" s="95">
        <f t="shared" si="9"/>
        <v>292210218.13</v>
      </c>
    </row>
    <row r="45" spans="1:7" ht="15">
      <c r="A45" s="36" t="s">
        <v>383</v>
      </c>
      <c r="B45" s="95">
        <v>0</v>
      </c>
      <c r="C45" s="95">
        <v>0</v>
      </c>
      <c r="D45" s="95">
        <v>0</v>
      </c>
      <c r="E45" s="95">
        <v>0</v>
      </c>
      <c r="F45" s="95">
        <v>0</v>
      </c>
      <c r="G45" s="95">
        <f>D45-E45</f>
        <v>0</v>
      </c>
    </row>
    <row r="46" spans="1:7" ht="15">
      <c r="A46" s="36" t="s">
        <v>384</v>
      </c>
      <c r="B46" s="95">
        <v>68700000</v>
      </c>
      <c r="C46" s="95">
        <v>18241968.57</v>
      </c>
      <c r="D46" s="95">
        <v>86941968.57</v>
      </c>
      <c r="E46" s="95">
        <v>18241968.56</v>
      </c>
      <c r="F46" s="95">
        <v>18241968.56</v>
      </c>
      <c r="G46" s="95">
        <f aca="true" t="shared" si="10" ref="G46:G52">D46-E46</f>
        <v>68700000.00999999</v>
      </c>
    </row>
    <row r="47" spans="1:7" ht="15">
      <c r="A47" s="36" t="s">
        <v>385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f t="shared" si="10"/>
        <v>0</v>
      </c>
    </row>
    <row r="48" spans="1:7" ht="15">
      <c r="A48" s="36" t="s">
        <v>386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f t="shared" si="10"/>
        <v>0</v>
      </c>
    </row>
    <row r="49" spans="1:7" ht="15">
      <c r="A49" s="36" t="s">
        <v>387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f t="shared" si="10"/>
        <v>0</v>
      </c>
    </row>
    <row r="50" spans="1:7" ht="15">
      <c r="A50" s="36" t="s">
        <v>388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f t="shared" si="10"/>
        <v>0</v>
      </c>
    </row>
    <row r="51" spans="1:7" ht="15">
      <c r="A51" s="36" t="s">
        <v>389</v>
      </c>
      <c r="B51" s="95">
        <v>208510218</v>
      </c>
      <c r="C51" s="95">
        <v>36742591.3</v>
      </c>
      <c r="D51" s="95">
        <v>245252809.3</v>
      </c>
      <c r="E51" s="95">
        <v>36742591.18</v>
      </c>
      <c r="F51" s="95">
        <v>36742591.18</v>
      </c>
      <c r="G51" s="95">
        <f t="shared" si="10"/>
        <v>208510218.12</v>
      </c>
    </row>
    <row r="52" spans="1:7" ht="15">
      <c r="A52" s="36" t="s">
        <v>390</v>
      </c>
      <c r="B52" s="95">
        <v>15000000</v>
      </c>
      <c r="C52" s="95">
        <v>0</v>
      </c>
      <c r="D52" s="95">
        <v>15000000</v>
      </c>
      <c r="E52" s="95">
        <v>0</v>
      </c>
      <c r="F52" s="95">
        <v>0</v>
      </c>
      <c r="G52" s="95">
        <f t="shared" si="10"/>
        <v>15000000</v>
      </c>
    </row>
    <row r="53" spans="1:7" ht="15">
      <c r="A53" s="131" t="s">
        <v>391</v>
      </c>
      <c r="B53" s="95">
        <f aca="true" t="shared" si="11" ref="B53:G53">SUM(B54:B60)</f>
        <v>10395343728</v>
      </c>
      <c r="C53" s="95">
        <f t="shared" si="11"/>
        <v>749125435.33</v>
      </c>
      <c r="D53" s="95">
        <f t="shared" si="11"/>
        <v>11144469163.33</v>
      </c>
      <c r="E53" s="95">
        <f t="shared" si="11"/>
        <v>2445788949.54</v>
      </c>
      <c r="F53" s="95">
        <f t="shared" si="11"/>
        <v>2445788949.54</v>
      </c>
      <c r="G53" s="95">
        <f t="shared" si="11"/>
        <v>8698680213.79</v>
      </c>
    </row>
    <row r="54" spans="1:7" ht="15">
      <c r="A54" s="36" t="s">
        <v>392</v>
      </c>
      <c r="B54" s="95">
        <v>26537214</v>
      </c>
      <c r="C54" s="95">
        <v>0</v>
      </c>
      <c r="D54" s="95">
        <v>26537214</v>
      </c>
      <c r="E54" s="95">
        <v>0</v>
      </c>
      <c r="F54" s="95">
        <v>0</v>
      </c>
      <c r="G54" s="95">
        <f>D54-E54</f>
        <v>26537214</v>
      </c>
    </row>
    <row r="55" spans="1:7" ht="15">
      <c r="A55" s="36" t="s">
        <v>393</v>
      </c>
      <c r="B55" s="95">
        <v>375155124</v>
      </c>
      <c r="C55" s="95">
        <v>168281425.8</v>
      </c>
      <c r="D55" s="95">
        <v>543436549.8</v>
      </c>
      <c r="E55" s="95">
        <v>23477535.54</v>
      </c>
      <c r="F55" s="95">
        <v>23477535.54</v>
      </c>
      <c r="G55" s="95">
        <f aca="true" t="shared" si="12" ref="G55:G60">D55-E55</f>
        <v>519959014.25999993</v>
      </c>
    </row>
    <row r="56" spans="1:7" ht="15">
      <c r="A56" s="36" t="s">
        <v>394</v>
      </c>
      <c r="B56" s="95">
        <v>2226291476</v>
      </c>
      <c r="C56" s="95">
        <v>3859652.42</v>
      </c>
      <c r="D56" s="95">
        <v>2230151128.42</v>
      </c>
      <c r="E56" s="95">
        <v>464606681.35</v>
      </c>
      <c r="F56" s="95">
        <v>464606681.35</v>
      </c>
      <c r="G56" s="95">
        <f t="shared" si="12"/>
        <v>1765544447.0700002</v>
      </c>
    </row>
    <row r="57" spans="1:7" ht="15">
      <c r="A57" s="141" t="s">
        <v>395</v>
      </c>
      <c r="B57" s="95">
        <v>73170983</v>
      </c>
      <c r="C57" s="95">
        <v>0</v>
      </c>
      <c r="D57" s="95">
        <v>73170983</v>
      </c>
      <c r="E57" s="95">
        <v>0</v>
      </c>
      <c r="F57" s="95">
        <v>0</v>
      </c>
      <c r="G57" s="95">
        <f t="shared" si="12"/>
        <v>73170983</v>
      </c>
    </row>
    <row r="58" spans="1:7" ht="15">
      <c r="A58" s="36" t="s">
        <v>396</v>
      </c>
      <c r="B58" s="95">
        <v>7335878777</v>
      </c>
      <c r="C58" s="95">
        <v>577572185.95</v>
      </c>
      <c r="D58" s="95">
        <v>7913450962.95</v>
      </c>
      <c r="E58" s="95">
        <v>1864459841.99</v>
      </c>
      <c r="F58" s="95">
        <v>1864459841.99</v>
      </c>
      <c r="G58" s="95">
        <f t="shared" si="12"/>
        <v>6048991120.96</v>
      </c>
    </row>
    <row r="59" spans="1:7" ht="15">
      <c r="A59" s="36" t="s">
        <v>397</v>
      </c>
      <c r="B59" s="95">
        <v>358310154</v>
      </c>
      <c r="C59" s="95">
        <v>-587828.84</v>
      </c>
      <c r="D59" s="95">
        <v>357722325.16</v>
      </c>
      <c r="E59" s="95">
        <v>93244890.66</v>
      </c>
      <c r="F59" s="95">
        <v>93244890.66</v>
      </c>
      <c r="G59" s="95">
        <f t="shared" si="12"/>
        <v>264477434.50000003</v>
      </c>
    </row>
    <row r="60" spans="1:7" ht="15">
      <c r="A60" s="36" t="s">
        <v>398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f t="shared" si="12"/>
        <v>0</v>
      </c>
    </row>
    <row r="61" spans="1:7" ht="15">
      <c r="A61" s="131" t="s">
        <v>399</v>
      </c>
      <c r="B61" s="95">
        <f aca="true" t="shared" si="13" ref="B61:G61">SUM(B62:B70)</f>
        <v>217586303</v>
      </c>
      <c r="C61" s="95">
        <f t="shared" si="13"/>
        <v>-143879329.52</v>
      </c>
      <c r="D61" s="95">
        <f t="shared" si="13"/>
        <v>73706973.47999999</v>
      </c>
      <c r="E61" s="95">
        <f t="shared" si="13"/>
        <v>0</v>
      </c>
      <c r="F61" s="95">
        <f t="shared" si="13"/>
        <v>0</v>
      </c>
      <c r="G61" s="95">
        <f t="shared" si="13"/>
        <v>73706973.47999999</v>
      </c>
    </row>
    <row r="62" spans="1:7" ht="15">
      <c r="A62" s="36" t="s">
        <v>400</v>
      </c>
      <c r="B62" s="95">
        <v>0</v>
      </c>
      <c r="C62" s="95">
        <v>0</v>
      </c>
      <c r="D62" s="95">
        <v>0</v>
      </c>
      <c r="E62" s="95">
        <v>0</v>
      </c>
      <c r="F62" s="95">
        <v>0</v>
      </c>
      <c r="G62" s="95">
        <f>D62-E62</f>
        <v>0</v>
      </c>
    </row>
    <row r="63" spans="1:7" ht="15">
      <c r="A63" s="36" t="s">
        <v>401</v>
      </c>
      <c r="B63" s="95">
        <v>21915287</v>
      </c>
      <c r="C63" s="95">
        <v>0</v>
      </c>
      <c r="D63" s="95">
        <v>21915287</v>
      </c>
      <c r="E63" s="95">
        <v>0</v>
      </c>
      <c r="F63" s="95">
        <v>0</v>
      </c>
      <c r="G63" s="95">
        <f aca="true" t="shared" si="14" ref="G63:G70">D63-E63</f>
        <v>21915287</v>
      </c>
    </row>
    <row r="64" spans="1:7" ht="15">
      <c r="A64" s="36" t="s">
        <v>402</v>
      </c>
      <c r="B64" s="95">
        <v>14400000</v>
      </c>
      <c r="C64" s="95">
        <v>0</v>
      </c>
      <c r="D64" s="95">
        <v>14400000</v>
      </c>
      <c r="E64" s="95">
        <v>0</v>
      </c>
      <c r="F64" s="95">
        <v>0</v>
      </c>
      <c r="G64" s="95">
        <f t="shared" si="14"/>
        <v>14400000</v>
      </c>
    </row>
    <row r="65" spans="1:7" ht="15">
      <c r="A65" s="36" t="s">
        <v>403</v>
      </c>
      <c r="B65" s="95">
        <v>0</v>
      </c>
      <c r="C65" s="95">
        <v>0</v>
      </c>
      <c r="D65" s="95">
        <v>0</v>
      </c>
      <c r="E65" s="95">
        <v>0</v>
      </c>
      <c r="F65" s="95">
        <v>0</v>
      </c>
      <c r="G65" s="95">
        <f t="shared" si="14"/>
        <v>0</v>
      </c>
    </row>
    <row r="66" spans="1:7" ht="15">
      <c r="A66" s="36" t="s">
        <v>404</v>
      </c>
      <c r="B66" s="95">
        <v>0</v>
      </c>
      <c r="C66" s="95">
        <v>0</v>
      </c>
      <c r="D66" s="95">
        <v>0</v>
      </c>
      <c r="E66" s="95">
        <v>0</v>
      </c>
      <c r="F66" s="95">
        <v>0</v>
      </c>
      <c r="G66" s="95">
        <f t="shared" si="14"/>
        <v>0</v>
      </c>
    </row>
    <row r="67" spans="1:7" ht="15">
      <c r="A67" s="36" t="s">
        <v>405</v>
      </c>
      <c r="B67" s="95">
        <v>181271016</v>
      </c>
      <c r="C67" s="95">
        <v>-143879329.52</v>
      </c>
      <c r="D67" s="95">
        <v>37391686.48</v>
      </c>
      <c r="E67" s="95">
        <v>0</v>
      </c>
      <c r="F67" s="95">
        <v>0</v>
      </c>
      <c r="G67" s="95">
        <f t="shared" si="14"/>
        <v>37391686.48</v>
      </c>
    </row>
    <row r="68" spans="1:7" ht="15">
      <c r="A68" s="36" t="s">
        <v>406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5">
        <f t="shared" si="14"/>
        <v>0</v>
      </c>
    </row>
    <row r="69" spans="1:7" ht="15">
      <c r="A69" s="36" t="s">
        <v>407</v>
      </c>
      <c r="B69" s="95">
        <v>0</v>
      </c>
      <c r="C69" s="95">
        <v>0</v>
      </c>
      <c r="D69" s="95">
        <v>0</v>
      </c>
      <c r="E69" s="95">
        <v>0</v>
      </c>
      <c r="F69" s="95">
        <v>0</v>
      </c>
      <c r="G69" s="95">
        <f t="shared" si="14"/>
        <v>0</v>
      </c>
    </row>
    <row r="70" spans="1:7" ht="15">
      <c r="A70" s="36" t="s">
        <v>408</v>
      </c>
      <c r="B70" s="95">
        <v>0</v>
      </c>
      <c r="C70" s="95">
        <v>0</v>
      </c>
      <c r="D70" s="95">
        <v>0</v>
      </c>
      <c r="E70" s="95">
        <v>0</v>
      </c>
      <c r="F70" s="95">
        <v>0</v>
      </c>
      <c r="G70" s="95">
        <f t="shared" si="14"/>
        <v>0</v>
      </c>
    </row>
    <row r="71" spans="1:7" ht="15">
      <c r="A71" s="134" t="s">
        <v>416</v>
      </c>
      <c r="B71" s="97">
        <f aca="true" t="shared" si="15" ref="B71:G71">SUM(B72:B75)</f>
        <v>2225628046</v>
      </c>
      <c r="C71" s="97">
        <f t="shared" si="15"/>
        <v>-58230667.48</v>
      </c>
      <c r="D71" s="97">
        <f t="shared" si="15"/>
        <v>2167397378.52</v>
      </c>
      <c r="E71" s="97">
        <f t="shared" si="15"/>
        <v>602023594.95</v>
      </c>
      <c r="F71" s="97">
        <f t="shared" si="15"/>
        <v>602023594.95</v>
      </c>
      <c r="G71" s="97">
        <f t="shared" si="15"/>
        <v>1565373783.57</v>
      </c>
    </row>
    <row r="72" spans="1:7" ht="15">
      <c r="A72" s="36" t="s">
        <v>410</v>
      </c>
      <c r="B72" s="95">
        <v>0</v>
      </c>
      <c r="C72" s="95">
        <v>0</v>
      </c>
      <c r="D72" s="95">
        <v>0</v>
      </c>
      <c r="E72" s="95">
        <v>0</v>
      </c>
      <c r="F72" s="95">
        <v>0</v>
      </c>
      <c r="G72" s="95">
        <f>D72-E72</f>
        <v>0</v>
      </c>
    </row>
    <row r="73" spans="1:7" ht="30">
      <c r="A73" s="36" t="s">
        <v>411</v>
      </c>
      <c r="B73" s="95">
        <v>2225628046</v>
      </c>
      <c r="C73" s="95">
        <v>-58230667.48</v>
      </c>
      <c r="D73" s="95">
        <v>2167397378.52</v>
      </c>
      <c r="E73" s="95">
        <v>602023594.95</v>
      </c>
      <c r="F73" s="95">
        <v>602023594.95</v>
      </c>
      <c r="G73" s="95">
        <f>D73-E73</f>
        <v>1565373783.57</v>
      </c>
    </row>
    <row r="74" spans="1:7" ht="15">
      <c r="A74" s="36" t="s">
        <v>412</v>
      </c>
      <c r="B74" s="95">
        <v>0</v>
      </c>
      <c r="C74" s="95">
        <v>0</v>
      </c>
      <c r="D74" s="95">
        <v>0</v>
      </c>
      <c r="E74" s="95">
        <v>0</v>
      </c>
      <c r="F74" s="95">
        <v>0</v>
      </c>
      <c r="G74" s="95">
        <f>D74-E74</f>
        <v>0</v>
      </c>
    </row>
    <row r="75" spans="1:7" ht="15">
      <c r="A75" s="36" t="s">
        <v>413</v>
      </c>
      <c r="B75" s="95">
        <v>0</v>
      </c>
      <c r="C75" s="95">
        <v>0</v>
      </c>
      <c r="D75" s="95">
        <v>0</v>
      </c>
      <c r="E75" s="95">
        <v>0</v>
      </c>
      <c r="F75" s="95">
        <v>0</v>
      </c>
      <c r="G75" s="95">
        <f>D75-E75</f>
        <v>0</v>
      </c>
    </row>
    <row r="76" spans="1:7" ht="15">
      <c r="A76" s="29"/>
      <c r="B76" s="98"/>
      <c r="C76" s="98"/>
      <c r="D76" s="98"/>
      <c r="E76" s="98"/>
      <c r="F76" s="98"/>
      <c r="G76" s="98"/>
    </row>
    <row r="77" spans="1:7" ht="15">
      <c r="A77" s="128" t="s">
        <v>371</v>
      </c>
      <c r="B77" s="96">
        <f aca="true" t="shared" si="16" ref="B77:G77">B43+B9</f>
        <v>25773631741</v>
      </c>
      <c r="C77" s="96">
        <f t="shared" si="16"/>
        <v>1258852936.3400002</v>
      </c>
      <c r="D77" s="96">
        <f t="shared" si="16"/>
        <v>27032484677.34</v>
      </c>
      <c r="E77" s="96">
        <f t="shared" si="16"/>
        <v>6323015092.559999</v>
      </c>
      <c r="F77" s="96">
        <f t="shared" si="16"/>
        <v>6307791614.509999</v>
      </c>
      <c r="G77" s="96">
        <f t="shared" si="16"/>
        <v>20709469584.78</v>
      </c>
    </row>
    <row r="78" spans="1:7" ht="15">
      <c r="A78" s="30"/>
      <c r="B78" s="105"/>
      <c r="C78" s="105"/>
      <c r="D78" s="105"/>
      <c r="E78" s="105"/>
      <c r="F78" s="105"/>
      <c r="G78" s="106"/>
    </row>
    <row r="79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B37 G28:G36 B27:F27 B19:F19 G10:G18 B10:F10 B9:C9 D9:IV9 G38:G41 C37:F37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85" zoomScaleNormal="80" zoomScaleSheetLayoutView="85" zoomScalePageLayoutView="0" workbookViewId="0" topLeftCell="A1">
      <selection activeCell="D27" sqref="D27"/>
    </sheetView>
  </sheetViews>
  <sheetFormatPr defaultColWidth="0.71875" defaultRowHeight="15" zeroHeight="1"/>
  <cols>
    <col min="1" max="1" width="77.140625" style="0" customWidth="1"/>
    <col min="2" max="6" width="20.7109375" style="0" customWidth="1"/>
    <col min="7" max="7" width="17.57421875" style="0" customWidth="1"/>
    <col min="8" max="8" width="0" style="0" hidden="1" customWidth="1"/>
    <col min="9" max="255" width="11.421875" style="0" hidden="1" customWidth="1"/>
  </cols>
  <sheetData>
    <row r="1" spans="1:7" ht="21">
      <c r="A1" s="170" t="s">
        <v>417</v>
      </c>
      <c r="B1" s="167"/>
      <c r="C1" s="167"/>
      <c r="D1" s="167"/>
      <c r="E1" s="167"/>
      <c r="F1" s="167"/>
      <c r="G1" s="167"/>
    </row>
    <row r="2" spans="1:7" ht="15">
      <c r="A2" s="148" t="s">
        <v>286</v>
      </c>
      <c r="B2" s="149"/>
      <c r="C2" s="149"/>
      <c r="D2" s="149"/>
      <c r="E2" s="149"/>
      <c r="F2" s="149"/>
      <c r="G2" s="150"/>
    </row>
    <row r="3" spans="1:7" ht="15">
      <c r="A3" s="154" t="s">
        <v>288</v>
      </c>
      <c r="B3" s="155"/>
      <c r="C3" s="155"/>
      <c r="D3" s="155"/>
      <c r="E3" s="155"/>
      <c r="F3" s="155"/>
      <c r="G3" s="156"/>
    </row>
    <row r="4" spans="1:7" ht="15">
      <c r="A4" s="154" t="s">
        <v>418</v>
      </c>
      <c r="B4" s="155"/>
      <c r="C4" s="155"/>
      <c r="D4" s="155"/>
      <c r="E4" s="155"/>
      <c r="F4" s="155"/>
      <c r="G4" s="156"/>
    </row>
    <row r="5" spans="1:7" ht="15">
      <c r="A5" s="154" t="s">
        <v>482</v>
      </c>
      <c r="B5" s="155"/>
      <c r="C5" s="155"/>
      <c r="D5" s="155"/>
      <c r="E5" s="155"/>
      <c r="F5" s="155"/>
      <c r="G5" s="156"/>
    </row>
    <row r="6" spans="1:7" ht="15">
      <c r="A6" s="157" t="s">
        <v>2</v>
      </c>
      <c r="B6" s="158"/>
      <c r="C6" s="158"/>
      <c r="D6" s="158"/>
      <c r="E6" s="158"/>
      <c r="F6" s="158"/>
      <c r="G6" s="159"/>
    </row>
    <row r="7" spans="1:7" ht="15">
      <c r="A7" s="164" t="s">
        <v>419</v>
      </c>
      <c r="B7" s="168" t="s">
        <v>290</v>
      </c>
      <c r="C7" s="168"/>
      <c r="D7" s="168"/>
      <c r="E7" s="168"/>
      <c r="F7" s="168"/>
      <c r="G7" s="168" t="s">
        <v>291</v>
      </c>
    </row>
    <row r="8" spans="1:7" ht="30">
      <c r="A8" s="165"/>
      <c r="B8" s="6" t="s">
        <v>292</v>
      </c>
      <c r="C8" s="27" t="s">
        <v>380</v>
      </c>
      <c r="D8" s="27" t="s">
        <v>224</v>
      </c>
      <c r="E8" s="27" t="s">
        <v>182</v>
      </c>
      <c r="F8" s="27" t="s">
        <v>198</v>
      </c>
      <c r="G8" s="174"/>
    </row>
    <row r="9" spans="1:7" ht="15">
      <c r="A9" s="130" t="s">
        <v>420</v>
      </c>
      <c r="B9" s="99">
        <f aca="true" t="shared" si="0" ref="B9:G9">SUM(B10,B11,B12,B15,B16,B19)</f>
        <v>2992766300</v>
      </c>
      <c r="C9" s="99">
        <f t="shared" si="0"/>
        <v>4267448.8500000145</v>
      </c>
      <c r="D9" s="99">
        <f t="shared" si="0"/>
        <v>2997033748.850001</v>
      </c>
      <c r="E9" s="99">
        <f t="shared" si="0"/>
        <v>631242513.9199996</v>
      </c>
      <c r="F9" s="99">
        <f>SUM(F10,F11,F12,F15,F16,F19)</f>
        <v>625684249.9199996</v>
      </c>
      <c r="G9" s="99">
        <f t="shared" si="0"/>
        <v>2365791234.9300013</v>
      </c>
    </row>
    <row r="10" spans="1:7" ht="15">
      <c r="A10" s="136" t="s">
        <v>421</v>
      </c>
      <c r="B10" s="100">
        <v>1911623305</v>
      </c>
      <c r="C10" s="100">
        <v>-4046640.8199999854</v>
      </c>
      <c r="D10" s="100">
        <v>1907576664.1800008</v>
      </c>
      <c r="E10" s="100">
        <v>384459425.6799996</v>
      </c>
      <c r="F10" s="100">
        <v>381003106.21999955</v>
      </c>
      <c r="G10" s="100">
        <f>D10-E10</f>
        <v>1523117238.5000012</v>
      </c>
    </row>
    <row r="11" spans="1:7" ht="15">
      <c r="A11" s="136" t="s">
        <v>422</v>
      </c>
      <c r="B11" s="100">
        <v>108479918</v>
      </c>
      <c r="C11" s="100">
        <v>-3020411.57</v>
      </c>
      <c r="D11" s="100">
        <v>105459506.42999999</v>
      </c>
      <c r="E11" s="100">
        <v>18703401.6</v>
      </c>
      <c r="F11" s="100">
        <v>18525203.85</v>
      </c>
      <c r="G11" s="100">
        <f>D11-E11</f>
        <v>86756104.82999998</v>
      </c>
    </row>
    <row r="12" spans="1:7" ht="15">
      <c r="A12" s="136" t="s">
        <v>423</v>
      </c>
      <c r="B12" s="100">
        <f aca="true" t="shared" si="1" ref="B12:G12">B13+B14</f>
        <v>269248626</v>
      </c>
      <c r="C12" s="100">
        <f t="shared" si="1"/>
        <v>-1375809</v>
      </c>
      <c r="D12" s="100">
        <f aca="true" t="shared" si="2" ref="D12:D18">+B12+C12</f>
        <v>267872817</v>
      </c>
      <c r="E12" s="100">
        <f t="shared" si="1"/>
        <v>67721875.02000001</v>
      </c>
      <c r="F12" s="100">
        <f t="shared" si="1"/>
        <v>67042948.120000005</v>
      </c>
      <c r="G12" s="100">
        <f t="shared" si="1"/>
        <v>200150941.97999996</v>
      </c>
    </row>
    <row r="13" spans="1:7" ht="15">
      <c r="A13" s="131" t="s">
        <v>424</v>
      </c>
      <c r="B13" s="100">
        <v>50419997</v>
      </c>
      <c r="C13" s="100">
        <v>-1142409.16</v>
      </c>
      <c r="D13" s="100">
        <v>49277587.84</v>
      </c>
      <c r="E13" s="100">
        <v>8899692.2</v>
      </c>
      <c r="F13" s="100">
        <v>8805449.33</v>
      </c>
      <c r="G13" s="100">
        <f>D13-E13</f>
        <v>40377895.64</v>
      </c>
    </row>
    <row r="14" spans="1:7" ht="15">
      <c r="A14" s="131" t="s">
        <v>425</v>
      </c>
      <c r="B14" s="100">
        <v>218828629</v>
      </c>
      <c r="C14" s="100">
        <v>-233399.83999999997</v>
      </c>
      <c r="D14" s="100">
        <v>218595229.16</v>
      </c>
      <c r="E14" s="100">
        <v>58822182.82000001</v>
      </c>
      <c r="F14" s="100">
        <v>58237498.79000001</v>
      </c>
      <c r="G14" s="100">
        <f>D14-E14</f>
        <v>159773046.33999997</v>
      </c>
    </row>
    <row r="15" spans="1:7" ht="15">
      <c r="A15" s="136" t="s">
        <v>426</v>
      </c>
      <c r="B15" s="100">
        <v>703414451</v>
      </c>
      <c r="C15" s="100">
        <v>10219121.8</v>
      </c>
      <c r="D15" s="118">
        <v>713633572.8</v>
      </c>
      <c r="E15" s="100">
        <v>158909196.76999998</v>
      </c>
      <c r="F15" s="118">
        <v>157664376.88</v>
      </c>
      <c r="G15" s="100">
        <f>D15-E15</f>
        <v>554724376.03</v>
      </c>
    </row>
    <row r="16" spans="1:7" ht="30">
      <c r="A16" s="142" t="s">
        <v>427</v>
      </c>
      <c r="B16" s="100">
        <f aca="true" t="shared" si="3" ref="B16:G16">B17+B18</f>
        <v>0</v>
      </c>
      <c r="C16" s="100">
        <f t="shared" si="3"/>
        <v>0</v>
      </c>
      <c r="D16" s="100">
        <f t="shared" si="2"/>
        <v>0</v>
      </c>
      <c r="E16" s="100">
        <f t="shared" si="3"/>
        <v>0</v>
      </c>
      <c r="F16" s="100">
        <f t="shared" si="3"/>
        <v>0</v>
      </c>
      <c r="G16" s="100">
        <f t="shared" si="3"/>
        <v>0</v>
      </c>
    </row>
    <row r="17" spans="1:7" ht="15">
      <c r="A17" s="131" t="s">
        <v>428</v>
      </c>
      <c r="B17" s="100">
        <v>0</v>
      </c>
      <c r="C17" s="100">
        <v>0</v>
      </c>
      <c r="D17" s="100">
        <f t="shared" si="2"/>
        <v>0</v>
      </c>
      <c r="E17" s="100">
        <v>0</v>
      </c>
      <c r="F17" s="100">
        <v>0</v>
      </c>
      <c r="G17" s="100">
        <f>D17-E17</f>
        <v>0</v>
      </c>
    </row>
    <row r="18" spans="1:7" ht="15">
      <c r="A18" s="131" t="s">
        <v>429</v>
      </c>
      <c r="B18" s="100">
        <v>0</v>
      </c>
      <c r="C18" s="100">
        <v>0</v>
      </c>
      <c r="D18" s="100">
        <f t="shared" si="2"/>
        <v>0</v>
      </c>
      <c r="E18" s="100">
        <v>0</v>
      </c>
      <c r="F18" s="100">
        <v>0</v>
      </c>
      <c r="G18" s="100">
        <f>D18-E18</f>
        <v>0</v>
      </c>
    </row>
    <row r="19" spans="1:7" ht="15">
      <c r="A19" s="136" t="s">
        <v>430</v>
      </c>
      <c r="B19" s="100">
        <v>0</v>
      </c>
      <c r="C19" s="100">
        <v>2491188.44</v>
      </c>
      <c r="D19" s="100">
        <v>2491188.44</v>
      </c>
      <c r="E19" s="100">
        <v>1448614.85</v>
      </c>
      <c r="F19" s="100">
        <v>1448614.85</v>
      </c>
      <c r="G19" s="100">
        <f>D19-E19</f>
        <v>1042573.5899999999</v>
      </c>
    </row>
    <row r="20" spans="1:7" ht="15">
      <c r="A20" s="29"/>
      <c r="B20" s="101"/>
      <c r="C20" s="101"/>
      <c r="D20" s="101"/>
      <c r="E20" s="101"/>
      <c r="F20" s="101"/>
      <c r="G20" s="101"/>
    </row>
    <row r="21" spans="1:8" ht="15">
      <c r="A21" s="139" t="s">
        <v>431</v>
      </c>
      <c r="B21" s="99">
        <f aca="true" t="shared" si="4" ref="B21:G21">SUM(B22,B23,B24,B27,B28,B31)</f>
        <v>5475556121</v>
      </c>
      <c r="C21" s="99">
        <f t="shared" si="4"/>
        <v>0.8400000035762787</v>
      </c>
      <c r="D21" s="99">
        <f t="shared" si="4"/>
        <v>5475556121.84</v>
      </c>
      <c r="E21" s="99">
        <f t="shared" si="4"/>
        <v>1249424490.21</v>
      </c>
      <c r="F21" s="99">
        <f>SUM(F22,F23,F24,F27,F28,F31)</f>
        <v>1249424490.21</v>
      </c>
      <c r="G21" s="99">
        <f t="shared" si="4"/>
        <v>4226131631.63</v>
      </c>
      <c r="H21" s="9"/>
    </row>
    <row r="22" spans="1:8" ht="15">
      <c r="A22" s="136" t="s">
        <v>421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>D22-E22</f>
        <v>0</v>
      </c>
      <c r="H22" s="9"/>
    </row>
    <row r="23" spans="1:8" ht="15">
      <c r="A23" s="136" t="s">
        <v>422</v>
      </c>
      <c r="B23" s="100">
        <v>5475556121</v>
      </c>
      <c r="C23" s="100">
        <v>0.8400000035762787</v>
      </c>
      <c r="D23" s="100">
        <v>5475556121.84</v>
      </c>
      <c r="E23" s="118">
        <v>1249424490.21</v>
      </c>
      <c r="F23" s="118">
        <v>1249424490.21</v>
      </c>
      <c r="G23" s="100">
        <f>D23-E23</f>
        <v>4226131631.63</v>
      </c>
      <c r="H23" s="9"/>
    </row>
    <row r="24" spans="1:8" ht="15">
      <c r="A24" s="136" t="s">
        <v>423</v>
      </c>
      <c r="B24" s="100">
        <f aca="true" t="shared" si="5" ref="B24:G24">B25+B26</f>
        <v>0</v>
      </c>
      <c r="C24" s="100">
        <f t="shared" si="5"/>
        <v>0</v>
      </c>
      <c r="D24" s="100">
        <f t="shared" si="5"/>
        <v>0</v>
      </c>
      <c r="E24" s="100">
        <f t="shared" si="5"/>
        <v>0</v>
      </c>
      <c r="F24" s="100">
        <f t="shared" si="5"/>
        <v>0</v>
      </c>
      <c r="G24" s="100">
        <f t="shared" si="5"/>
        <v>0</v>
      </c>
      <c r="H24" s="9"/>
    </row>
    <row r="25" spans="1:8" ht="15">
      <c r="A25" s="131" t="s">
        <v>424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>D25-E25</f>
        <v>0</v>
      </c>
      <c r="H25" s="9"/>
    </row>
    <row r="26" spans="1:8" ht="15">
      <c r="A26" s="131" t="s">
        <v>425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>D26-E26</f>
        <v>0</v>
      </c>
      <c r="H26" s="9"/>
    </row>
    <row r="27" spans="1:8" ht="15">
      <c r="A27" s="136" t="s">
        <v>426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f>D27-E27</f>
        <v>0</v>
      </c>
      <c r="H27" s="9"/>
    </row>
    <row r="28" spans="1:8" ht="30">
      <c r="A28" s="142" t="s">
        <v>427</v>
      </c>
      <c r="B28" s="100">
        <f aca="true" t="shared" si="6" ref="B28:G28">B29+B30</f>
        <v>0</v>
      </c>
      <c r="C28" s="100">
        <f t="shared" si="6"/>
        <v>0</v>
      </c>
      <c r="D28" s="100">
        <f t="shared" si="6"/>
        <v>0</v>
      </c>
      <c r="E28" s="100">
        <f t="shared" si="6"/>
        <v>0</v>
      </c>
      <c r="F28" s="100">
        <f t="shared" si="6"/>
        <v>0</v>
      </c>
      <c r="G28" s="100">
        <f t="shared" si="6"/>
        <v>0</v>
      </c>
      <c r="H28" s="9"/>
    </row>
    <row r="29" spans="1:8" ht="15">
      <c r="A29" s="131" t="s">
        <v>428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>D29-E29</f>
        <v>0</v>
      </c>
      <c r="H29" s="9"/>
    </row>
    <row r="30" spans="1:8" ht="15">
      <c r="A30" s="131" t="s">
        <v>429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>D30-E30</f>
        <v>0</v>
      </c>
      <c r="H30" s="9"/>
    </row>
    <row r="31" spans="1:8" ht="15">
      <c r="A31" s="136" t="s">
        <v>430</v>
      </c>
      <c r="B31" s="10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f>D31-E31</f>
        <v>0</v>
      </c>
      <c r="H31" s="9"/>
    </row>
    <row r="32" spans="1:7" ht="15">
      <c r="A32" s="29"/>
      <c r="B32" s="101"/>
      <c r="C32" s="101"/>
      <c r="D32" s="101"/>
      <c r="E32" s="101"/>
      <c r="F32" s="101"/>
      <c r="G32" s="101"/>
    </row>
    <row r="33" spans="1:7" ht="15">
      <c r="A33" s="128" t="s">
        <v>432</v>
      </c>
      <c r="B33" s="99">
        <f aca="true" t="shared" si="7" ref="B33:G33">B21+B9</f>
        <v>8468322421</v>
      </c>
      <c r="C33" s="99">
        <f t="shared" si="7"/>
        <v>4267449.690000018</v>
      </c>
      <c r="D33" s="99">
        <f t="shared" si="7"/>
        <v>8472589870.690001</v>
      </c>
      <c r="E33" s="99">
        <f t="shared" si="7"/>
        <v>1880667004.1299996</v>
      </c>
      <c r="F33" s="99">
        <f t="shared" si="7"/>
        <v>1875108740.1299996</v>
      </c>
      <c r="G33" s="99">
        <f t="shared" si="7"/>
        <v>6591922866.560001</v>
      </c>
    </row>
    <row r="34" spans="1:7" ht="15">
      <c r="A34" s="30"/>
      <c r="B34" s="115"/>
      <c r="C34" s="115"/>
      <c r="D34" s="115"/>
      <c r="E34" s="115"/>
      <c r="F34" s="115"/>
      <c r="G34" s="115"/>
    </row>
    <row r="35" spans="2:7" ht="15" hidden="1">
      <c r="B35" s="28"/>
      <c r="C35" s="28"/>
      <c r="D35" s="28"/>
      <c r="E35" s="28"/>
      <c r="F35" s="28"/>
      <c r="G35" s="28"/>
    </row>
    <row r="36" spans="2:7" ht="15" hidden="1">
      <c r="B36" s="28"/>
      <c r="C36" s="28"/>
      <c r="D36" s="28"/>
      <c r="E36" s="28"/>
      <c r="F36" s="28"/>
      <c r="G36" s="28"/>
    </row>
    <row r="37" spans="2:7" ht="15" hidden="1">
      <c r="B37" s="28"/>
      <c r="C37" s="28"/>
      <c r="D37" s="28"/>
      <c r="E37" s="28"/>
      <c r="F37" s="28"/>
      <c r="G37" s="28"/>
    </row>
    <row r="38" spans="2:7" ht="15" hidden="1">
      <c r="B38" s="28"/>
      <c r="C38" s="28"/>
      <c r="D38" s="28"/>
      <c r="E38" s="28"/>
      <c r="F38" s="28"/>
      <c r="G38" s="28"/>
    </row>
    <row r="39" spans="2:7" ht="15" hidden="1">
      <c r="B39" s="28"/>
      <c r="C39" s="28"/>
      <c r="D39" s="28"/>
      <c r="E39" s="28"/>
      <c r="F39" s="28"/>
      <c r="G39" s="28"/>
    </row>
    <row r="40" spans="2:7" ht="15" hidden="1">
      <c r="B40" s="28"/>
      <c r="C40" s="28"/>
      <c r="D40" s="28"/>
      <c r="E40" s="28"/>
      <c r="F40" s="28"/>
      <c r="G40" s="28"/>
    </row>
    <row r="41" spans="2:7" ht="15" hidden="1">
      <c r="B41" s="28"/>
      <c r="C41" s="28"/>
      <c r="D41" s="28"/>
      <c r="E41" s="28"/>
      <c r="F41" s="28"/>
      <c r="G41" s="28"/>
    </row>
    <row r="42" spans="2:7" ht="15" hidden="1">
      <c r="B42" s="28"/>
      <c r="C42" s="28"/>
      <c r="D42" s="28"/>
      <c r="E42" s="28"/>
      <c r="F42" s="28"/>
      <c r="G42" s="28"/>
    </row>
    <row r="43" spans="2:7" ht="15" hidden="1">
      <c r="B43" s="28"/>
      <c r="C43" s="28"/>
      <c r="D43" s="28"/>
      <c r="E43" s="28"/>
      <c r="F43" s="28"/>
      <c r="G43" s="28"/>
    </row>
    <row r="44" spans="2:7" ht="15" hidden="1">
      <c r="B44" s="28"/>
      <c r="C44" s="28"/>
      <c r="D44" s="28"/>
      <c r="E44" s="28"/>
      <c r="F44" s="28"/>
      <c r="G44" s="28"/>
    </row>
    <row r="45" spans="2:7" ht="15" hidden="1">
      <c r="B45" s="28"/>
      <c r="C45" s="28"/>
      <c r="D45" s="28"/>
      <c r="E45" s="28"/>
      <c r="F45" s="28"/>
      <c r="G45" s="28"/>
    </row>
    <row r="46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8" r:id="rId1"/>
  <ignoredErrors>
    <ignoredError sqref="B9:F9 B12:C12 B16:C16 B21:F21 B24:F24 B28:F28 B33:F33 G9:G11 G13:G14 G29:G33 E12:F12 E16:F16 D17:D18 G27 G25 G17:G23 G15 G26" unlockedFormula="1"/>
    <ignoredError sqref="G12 G28 D16 D12 G24 G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Usuario</cp:lastModifiedBy>
  <cp:lastPrinted>2024-04-23T17:36:17Z</cp:lastPrinted>
  <dcterms:created xsi:type="dcterms:W3CDTF">2019-07-09T15:27:10Z</dcterms:created>
  <dcterms:modified xsi:type="dcterms:W3CDTF">2024-04-25T20:38:49Z</dcterms:modified>
  <cp:category/>
  <cp:version/>
  <cp:contentType/>
  <cp:contentStatus/>
</cp:coreProperties>
</file>